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showInkAnnotation="0" autoCompressPictures="0"/>
  <mc:AlternateContent xmlns:mc="http://schemas.openxmlformats.org/markup-compatibility/2006">
    <mc:Choice Requires="x15">
      <x15ac:absPath xmlns:x15ac="http://schemas.microsoft.com/office/spreadsheetml/2010/11/ac" url="C:\Users\alongenberger\Desktop\FDS\"/>
    </mc:Choice>
  </mc:AlternateContent>
  <xr:revisionPtr revIDLastSave="0" documentId="8_{C881B342-BCBD-4F98-AB29-0955A4D82C6C}" xr6:coauthVersionLast="47" xr6:coauthVersionMax="47" xr10:uidLastSave="{00000000-0000-0000-0000-000000000000}"/>
  <bookViews>
    <workbookView xWindow="-120" yWindow="-120" windowWidth="29040" windowHeight="15840" tabRatio="924" xr2:uid="{00000000-000D-0000-FFFF-FFFF00000000}"/>
  </bookViews>
  <sheets>
    <sheet name="Instructions" sheetId="14" r:id="rId1"/>
    <sheet name="Definitions" sheetId="6" r:id="rId2"/>
    <sheet name=" CIP Codes --" sheetId="15" state="hidden" r:id="rId3"/>
    <sheet name="Higher Education Institutions" sheetId="16" state="hidden" r:id="rId4"/>
    <sheet name="CIP Programs" sheetId="18" state="hidden" r:id="rId5"/>
    <sheet name="IPEDS Codes" sheetId="17" state="hidden" r:id="rId6"/>
    <sheet name="CIP Codes" sheetId="19" r:id="rId7"/>
    <sheet name="Associate's Summary" sheetId="7" r:id="rId8"/>
    <sheet name="Bachelor's Summary" sheetId="8" r:id="rId9"/>
    <sheet name="Master's Summary" sheetId="9" r:id="rId10"/>
    <sheet name="Doctoral Summary" sheetId="10" r:id="rId11"/>
    <sheet name="Program Data - Associate's" sheetId="21" r:id="rId12"/>
    <sheet name="Program Data Associate's" sheetId="2" state="hidden" r:id="rId13"/>
    <sheet name="Program Data - Bachelor's" sheetId="11" r:id="rId14"/>
    <sheet name="Program Data - Master's" sheetId="12" r:id="rId15"/>
    <sheet name="Program Data - Doctoral" sheetId="13"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21" l="1"/>
  <c r="D3" i="21"/>
  <c r="D3" i="13"/>
  <c r="D3" i="12"/>
  <c r="D3" i="11"/>
  <c r="C2849" i="19" l="1"/>
  <c r="B2849" i="19"/>
  <c r="C2848" i="19"/>
  <c r="B2848" i="19"/>
  <c r="C2847" i="19"/>
  <c r="B2847" i="19"/>
  <c r="C2846" i="19"/>
  <c r="B2846" i="19"/>
  <c r="C2845" i="19"/>
  <c r="B2845" i="19"/>
  <c r="C2844" i="19"/>
  <c r="B2844" i="19"/>
  <c r="C2843" i="19"/>
  <c r="B2843" i="19"/>
  <c r="C2842" i="19"/>
  <c r="B2842" i="19"/>
  <c r="C2841" i="19"/>
  <c r="B2841" i="19"/>
  <c r="C2840" i="19"/>
  <c r="B2840" i="19"/>
  <c r="C2839" i="19"/>
  <c r="B2839" i="19"/>
  <c r="C2838" i="19"/>
  <c r="B2838" i="19"/>
  <c r="C2837" i="19"/>
  <c r="B2837" i="19"/>
  <c r="C2836" i="19"/>
  <c r="B2836" i="19"/>
  <c r="C2835" i="19"/>
  <c r="B2835" i="19"/>
  <c r="C2834" i="19"/>
  <c r="B2834" i="19"/>
  <c r="C2833" i="19"/>
  <c r="B2833" i="19"/>
  <c r="C2832" i="19"/>
  <c r="B2832" i="19"/>
  <c r="C2831" i="19"/>
  <c r="B2831" i="19"/>
  <c r="C2830" i="19"/>
  <c r="B2830" i="19"/>
  <c r="C2829" i="19"/>
  <c r="B2829" i="19"/>
  <c r="C2828" i="19"/>
  <c r="B2828" i="19"/>
  <c r="C2827" i="19"/>
  <c r="B2827" i="19"/>
  <c r="C2826" i="19"/>
  <c r="B2826" i="19"/>
  <c r="C2825" i="19"/>
  <c r="B2825" i="19"/>
  <c r="C2824" i="19"/>
  <c r="B2824" i="19"/>
  <c r="C2823" i="19"/>
  <c r="B2823" i="19"/>
  <c r="C2822" i="19"/>
  <c r="B2822" i="19"/>
  <c r="C2821" i="19"/>
  <c r="B2821" i="19"/>
  <c r="C2820" i="19"/>
  <c r="B2820" i="19"/>
  <c r="C2819" i="19"/>
  <c r="B2819" i="19"/>
  <c r="C2818" i="19"/>
  <c r="B2818" i="19"/>
  <c r="C2817" i="19"/>
  <c r="B2817" i="19"/>
  <c r="C2816" i="19"/>
  <c r="B2816" i="19"/>
  <c r="C2815" i="19"/>
  <c r="B2815" i="19"/>
  <c r="C2814" i="19"/>
  <c r="B2814" i="19"/>
  <c r="C2813" i="19"/>
  <c r="B2813" i="19"/>
  <c r="C2812" i="19"/>
  <c r="B2812" i="19"/>
  <c r="C2811" i="19"/>
  <c r="B2811" i="19"/>
  <c r="C2810" i="19"/>
  <c r="B2810" i="19"/>
  <c r="C2809" i="19"/>
  <c r="B2809" i="19"/>
  <c r="C2808" i="19"/>
  <c r="B2808" i="19"/>
  <c r="C2807" i="19"/>
  <c r="B2807" i="19"/>
  <c r="C2806" i="19"/>
  <c r="B2806" i="19"/>
  <c r="C2805" i="19"/>
  <c r="B2805" i="19"/>
  <c r="C2804" i="19"/>
  <c r="B2804" i="19"/>
  <c r="C2803" i="19"/>
  <c r="B2803" i="19"/>
  <c r="C2802" i="19"/>
  <c r="B2802" i="19"/>
  <c r="C2801" i="19"/>
  <c r="B2801" i="19"/>
  <c r="C2800" i="19"/>
  <c r="B2800" i="19"/>
  <c r="C2799" i="19"/>
  <c r="B2799" i="19"/>
  <c r="C2798" i="19"/>
  <c r="B2798" i="19"/>
  <c r="C2797" i="19"/>
  <c r="B2797" i="19"/>
  <c r="C2796" i="19"/>
  <c r="B2796" i="19"/>
  <c r="C2795" i="19"/>
  <c r="B2795" i="19"/>
  <c r="C2794" i="19"/>
  <c r="B2794" i="19"/>
  <c r="C2793" i="19"/>
  <c r="B2793" i="19"/>
  <c r="C2792" i="19"/>
  <c r="B2792" i="19"/>
  <c r="C2791" i="19"/>
  <c r="B2791" i="19"/>
  <c r="C2790" i="19"/>
  <c r="B2790" i="19"/>
  <c r="C2789" i="19"/>
  <c r="B2789" i="19"/>
  <c r="C2788" i="19"/>
  <c r="B2788" i="19"/>
  <c r="C2787" i="19"/>
  <c r="B2787" i="19"/>
  <c r="C2786" i="19"/>
  <c r="B2786" i="19"/>
  <c r="C2785" i="19"/>
  <c r="B2785" i="19"/>
  <c r="C2784" i="19"/>
  <c r="B2784" i="19"/>
  <c r="C2783" i="19"/>
  <c r="B2783" i="19"/>
  <c r="C2782" i="19"/>
  <c r="B2782" i="19"/>
  <c r="C2781" i="19"/>
  <c r="B2781" i="19"/>
  <c r="C2780" i="19"/>
  <c r="B2780" i="19"/>
  <c r="C2779" i="19"/>
  <c r="B2779" i="19"/>
  <c r="C2778" i="19"/>
  <c r="B2778" i="19"/>
  <c r="C2777" i="19"/>
  <c r="B2777" i="19"/>
  <c r="C2776" i="19"/>
  <c r="B2776" i="19"/>
  <c r="C2775" i="19"/>
  <c r="B2775" i="19"/>
  <c r="C2774" i="19"/>
  <c r="B2774" i="19"/>
  <c r="C2773" i="19"/>
  <c r="B2773" i="19"/>
  <c r="C2772" i="19"/>
  <c r="B2772" i="19"/>
  <c r="C2771" i="19"/>
  <c r="B2771" i="19"/>
  <c r="C2770" i="19"/>
  <c r="B2770" i="19"/>
  <c r="C2769" i="19"/>
  <c r="B2769" i="19"/>
  <c r="C2768" i="19"/>
  <c r="B2768" i="19"/>
  <c r="C2767" i="19"/>
  <c r="B2767" i="19"/>
  <c r="C2766" i="19"/>
  <c r="B2766" i="19"/>
  <c r="C2765" i="19"/>
  <c r="B2765" i="19"/>
  <c r="C2764" i="19"/>
  <c r="B2764" i="19"/>
  <c r="C2763" i="19"/>
  <c r="B2763" i="19"/>
  <c r="C2762" i="19"/>
  <c r="B2762" i="19"/>
  <c r="C2761" i="19"/>
  <c r="B2761" i="19"/>
  <c r="C2760" i="19"/>
  <c r="B2760" i="19"/>
  <c r="C2759" i="19"/>
  <c r="B2759" i="19"/>
  <c r="C2758" i="19"/>
  <c r="B2758" i="19"/>
  <c r="C2757" i="19"/>
  <c r="B2757" i="19"/>
  <c r="C2756" i="19"/>
  <c r="B2756" i="19"/>
  <c r="C2755" i="19"/>
  <c r="B2755" i="19"/>
  <c r="C2754" i="19"/>
  <c r="B2754" i="19"/>
  <c r="C2753" i="19"/>
  <c r="B2753" i="19"/>
  <c r="C2752" i="19"/>
  <c r="B2752" i="19"/>
  <c r="C2751" i="19"/>
  <c r="B2751" i="19"/>
  <c r="C2750" i="19"/>
  <c r="B2750" i="19"/>
  <c r="C2749" i="19"/>
  <c r="B2749" i="19"/>
  <c r="C2748" i="19"/>
  <c r="B2748" i="19"/>
  <c r="C2747" i="19"/>
  <c r="B2747" i="19"/>
  <c r="C2746" i="19"/>
  <c r="B2746" i="19"/>
  <c r="C2745" i="19"/>
  <c r="B2745" i="19"/>
  <c r="C2744" i="19"/>
  <c r="B2744" i="19"/>
  <c r="C2743" i="19"/>
  <c r="B2743" i="19"/>
  <c r="C2742" i="19"/>
  <c r="B2742" i="19"/>
  <c r="C2741" i="19"/>
  <c r="B2741" i="19"/>
  <c r="C2740" i="19"/>
  <c r="B2740" i="19"/>
  <c r="C2739" i="19"/>
  <c r="B2739" i="19"/>
  <c r="C2738" i="19"/>
  <c r="B2738" i="19"/>
  <c r="C2737" i="19"/>
  <c r="B2737" i="19"/>
  <c r="C2736" i="19"/>
  <c r="B2736" i="19"/>
  <c r="C2735" i="19"/>
  <c r="B2735" i="19"/>
  <c r="C2734" i="19"/>
  <c r="B2734" i="19"/>
  <c r="C2733" i="19"/>
  <c r="B2733" i="19"/>
  <c r="C2732" i="19"/>
  <c r="B2732" i="19"/>
  <c r="C2731" i="19"/>
  <c r="B2731" i="19"/>
  <c r="C2730" i="19"/>
  <c r="B2730" i="19"/>
  <c r="C2729" i="19"/>
  <c r="B2729" i="19"/>
  <c r="C2728" i="19"/>
  <c r="B2728" i="19"/>
  <c r="C2727" i="19"/>
  <c r="B2727" i="19"/>
  <c r="C2726" i="19"/>
  <c r="B2726" i="19"/>
  <c r="C2725" i="19"/>
  <c r="B2725" i="19"/>
  <c r="C2724" i="19"/>
  <c r="B2724" i="19"/>
  <c r="C2723" i="19"/>
  <c r="B2723" i="19"/>
  <c r="C2722" i="19"/>
  <c r="B2722" i="19"/>
  <c r="C2721" i="19"/>
  <c r="B2721" i="19"/>
  <c r="C2720" i="19"/>
  <c r="B2720" i="19"/>
  <c r="C2719" i="19"/>
  <c r="B2719" i="19"/>
  <c r="C2718" i="19"/>
  <c r="B2718" i="19"/>
  <c r="C2717" i="19"/>
  <c r="B2717" i="19"/>
  <c r="C2716" i="19"/>
  <c r="B2716" i="19"/>
  <c r="C2715" i="19"/>
  <c r="B2715" i="19"/>
  <c r="C2714" i="19"/>
  <c r="B2714" i="19"/>
  <c r="C2713" i="19"/>
  <c r="B2713" i="19"/>
  <c r="C2712" i="19"/>
  <c r="B2712" i="19"/>
  <c r="C2711" i="19"/>
  <c r="B2711" i="19"/>
  <c r="C2710" i="19"/>
  <c r="B2710" i="19"/>
  <c r="C2709" i="19"/>
  <c r="B2709" i="19"/>
  <c r="C2708" i="19"/>
  <c r="B2708" i="19"/>
  <c r="C2707" i="19"/>
  <c r="B2707" i="19"/>
  <c r="C2706" i="19"/>
  <c r="B2706" i="19"/>
  <c r="C2705" i="19"/>
  <c r="B2705" i="19"/>
  <c r="C2704" i="19"/>
  <c r="B2704" i="19"/>
  <c r="C2703" i="19"/>
  <c r="B2703" i="19"/>
  <c r="C2702" i="19"/>
  <c r="B2702" i="19"/>
  <c r="C2701" i="19"/>
  <c r="B2701" i="19"/>
  <c r="C2700" i="19"/>
  <c r="B2700" i="19"/>
  <c r="C2699" i="19"/>
  <c r="B2699" i="19"/>
  <c r="C2698" i="19"/>
  <c r="B2698" i="19"/>
  <c r="C2697" i="19"/>
  <c r="B2697" i="19"/>
  <c r="C2696" i="19"/>
  <c r="B2696" i="19"/>
  <c r="C2695" i="19"/>
  <c r="B2695" i="19"/>
  <c r="C2694" i="19"/>
  <c r="B2694" i="19"/>
  <c r="C2693" i="19"/>
  <c r="B2693" i="19"/>
  <c r="C2692" i="19"/>
  <c r="B2692" i="19"/>
  <c r="C2691" i="19"/>
  <c r="B2691" i="19"/>
  <c r="C2690" i="19"/>
  <c r="B2690" i="19"/>
  <c r="C2689" i="19"/>
  <c r="B2689" i="19"/>
  <c r="C2688" i="19"/>
  <c r="B2688" i="19"/>
  <c r="C2687" i="19"/>
  <c r="B2687" i="19"/>
  <c r="C2686" i="19"/>
  <c r="B2686" i="19"/>
  <c r="C2685" i="19"/>
  <c r="B2685" i="19"/>
  <c r="C2684" i="19"/>
  <c r="B2684" i="19"/>
  <c r="C2683" i="19"/>
  <c r="B2683" i="19"/>
  <c r="C2682" i="19"/>
  <c r="B2682" i="19"/>
  <c r="C2681" i="19"/>
  <c r="B2681" i="19"/>
  <c r="C2680" i="19"/>
  <c r="B2680" i="19"/>
  <c r="C2679" i="19"/>
  <c r="B2679" i="19"/>
  <c r="C2678" i="19"/>
  <c r="B2678" i="19"/>
  <c r="C2677" i="19"/>
  <c r="B2677" i="19"/>
  <c r="C2676" i="19"/>
  <c r="B2676" i="19"/>
  <c r="C2675" i="19"/>
  <c r="B2675" i="19"/>
  <c r="C2674" i="19"/>
  <c r="B2674" i="19"/>
  <c r="C2673" i="19"/>
  <c r="B2673" i="19"/>
  <c r="C2672" i="19"/>
  <c r="B2672" i="19"/>
  <c r="C2671" i="19"/>
  <c r="B2671" i="19"/>
  <c r="C2670" i="19"/>
  <c r="B2670" i="19"/>
  <c r="C2669" i="19"/>
  <c r="B2669" i="19"/>
  <c r="C2668" i="19"/>
  <c r="B2668" i="19"/>
  <c r="C2667" i="19"/>
  <c r="B2667" i="19"/>
  <c r="C2666" i="19"/>
  <c r="B2666" i="19"/>
  <c r="C2665" i="19"/>
  <c r="B2665" i="19"/>
  <c r="C2664" i="19"/>
  <c r="B2664" i="19"/>
  <c r="C2663" i="19"/>
  <c r="B2663" i="19"/>
  <c r="C2662" i="19"/>
  <c r="B2662" i="19"/>
  <c r="C2661" i="19"/>
  <c r="B2661" i="19"/>
  <c r="C2660" i="19"/>
  <c r="B2660" i="19"/>
  <c r="C2659" i="19"/>
  <c r="B2659" i="19"/>
  <c r="C2658" i="19"/>
  <c r="B2658" i="19"/>
  <c r="C2657" i="19"/>
  <c r="B2657" i="19"/>
  <c r="C2656" i="19"/>
  <c r="B2656" i="19"/>
  <c r="C2655" i="19"/>
  <c r="B2655" i="19"/>
  <c r="C2654" i="19"/>
  <c r="B2654" i="19"/>
  <c r="C2653" i="19"/>
  <c r="B2653" i="19"/>
  <c r="C2652" i="19"/>
  <c r="B2652" i="19"/>
  <c r="C2651" i="19"/>
  <c r="B2651" i="19"/>
  <c r="C2650" i="19"/>
  <c r="B2650" i="19"/>
  <c r="C2649" i="19"/>
  <c r="B2649" i="19"/>
  <c r="C2648" i="19"/>
  <c r="B2648" i="19"/>
  <c r="C2647" i="19"/>
  <c r="B2647" i="19"/>
  <c r="C2646" i="19"/>
  <c r="B2646" i="19"/>
  <c r="C2645" i="19"/>
  <c r="B2645" i="19"/>
  <c r="C2644" i="19"/>
  <c r="B2644" i="19"/>
  <c r="C2643" i="19"/>
  <c r="B2643" i="19"/>
  <c r="C2642" i="19"/>
  <c r="B2642" i="19"/>
  <c r="C2641" i="19"/>
  <c r="B2641" i="19"/>
  <c r="C2640" i="19"/>
  <c r="B2640" i="19"/>
  <c r="C2639" i="19"/>
  <c r="B2639" i="19"/>
  <c r="C2638" i="19"/>
  <c r="B2638" i="19"/>
  <c r="C2637" i="19"/>
  <c r="B2637" i="19"/>
  <c r="C2636" i="19"/>
  <c r="B2636" i="19"/>
  <c r="C2635" i="19"/>
  <c r="B2635" i="19"/>
  <c r="C2634" i="19"/>
  <c r="B2634" i="19"/>
  <c r="C2633" i="19"/>
  <c r="B2633" i="19"/>
  <c r="C2632" i="19"/>
  <c r="B2632" i="19"/>
  <c r="C2631" i="19"/>
  <c r="B2631" i="19"/>
  <c r="C2630" i="19"/>
  <c r="B2630" i="19"/>
  <c r="C2629" i="19"/>
  <c r="B2629" i="19"/>
  <c r="C2628" i="19"/>
  <c r="B2628" i="19"/>
  <c r="C2627" i="19"/>
  <c r="B2627" i="19"/>
  <c r="C2626" i="19"/>
  <c r="B2626" i="19"/>
  <c r="C2625" i="19"/>
  <c r="B2625" i="19"/>
  <c r="C2624" i="19"/>
  <c r="B2624" i="19"/>
  <c r="C2623" i="19"/>
  <c r="B2623" i="19"/>
  <c r="C2622" i="19"/>
  <c r="B2622" i="19"/>
  <c r="C2621" i="19"/>
  <c r="B2621" i="19"/>
  <c r="C2620" i="19"/>
  <c r="B2620" i="19"/>
  <c r="C2619" i="19"/>
  <c r="B2619" i="19"/>
  <c r="C2618" i="19"/>
  <c r="B2618" i="19"/>
  <c r="C2617" i="19"/>
  <c r="B2617" i="19"/>
  <c r="C2616" i="19"/>
  <c r="B2616" i="19"/>
  <c r="C2615" i="19"/>
  <c r="B2615" i="19"/>
  <c r="C2614" i="19"/>
  <c r="B2614" i="19"/>
  <c r="C2613" i="19"/>
  <c r="B2613" i="19"/>
  <c r="C2612" i="19"/>
  <c r="B2612" i="19"/>
  <c r="C2611" i="19"/>
  <c r="B2611" i="19"/>
  <c r="C2610" i="19"/>
  <c r="B2610" i="19"/>
  <c r="C2609" i="19"/>
  <c r="B2609" i="19"/>
  <c r="C2608" i="19"/>
  <c r="B2608" i="19"/>
  <c r="C2607" i="19"/>
  <c r="B2607" i="19"/>
  <c r="C2606" i="19"/>
  <c r="B2606" i="19"/>
  <c r="C2605" i="19"/>
  <c r="B2605" i="19"/>
  <c r="C2604" i="19"/>
  <c r="B2604" i="19"/>
  <c r="C2603" i="19"/>
  <c r="B2603" i="19"/>
  <c r="C2602" i="19"/>
  <c r="B2602" i="19"/>
  <c r="C2601" i="19"/>
  <c r="B2601" i="19"/>
  <c r="C2600" i="19"/>
  <c r="B2600" i="19"/>
  <c r="C2599" i="19"/>
  <c r="B2599" i="19"/>
  <c r="C2598" i="19"/>
  <c r="B2598" i="19"/>
  <c r="C2597" i="19"/>
  <c r="B2597" i="19"/>
  <c r="C2596" i="19"/>
  <c r="B2596" i="19"/>
  <c r="C2595" i="19"/>
  <c r="B2595" i="19"/>
  <c r="C2594" i="19"/>
  <c r="B2594" i="19"/>
  <c r="C2593" i="19"/>
  <c r="B2593" i="19"/>
  <c r="C2592" i="19"/>
  <c r="B2592" i="19"/>
  <c r="C2591" i="19"/>
  <c r="B2591" i="19"/>
  <c r="C2590" i="19"/>
  <c r="B2590" i="19"/>
  <c r="C2589" i="19"/>
  <c r="B2589" i="19"/>
  <c r="C2588" i="19"/>
  <c r="B2588" i="19"/>
  <c r="C2587" i="19"/>
  <c r="B2587" i="19"/>
  <c r="C2586" i="19"/>
  <c r="B2586" i="19"/>
  <c r="C2585" i="19"/>
  <c r="B2585" i="19"/>
  <c r="C2584" i="19"/>
  <c r="B2584" i="19"/>
  <c r="C2583" i="19"/>
  <c r="B2583" i="19"/>
  <c r="C2582" i="19"/>
  <c r="B2582" i="19"/>
  <c r="C2581" i="19"/>
  <c r="B2581" i="19"/>
  <c r="C2580" i="19"/>
  <c r="B2580" i="19"/>
  <c r="C2579" i="19"/>
  <c r="B2579" i="19"/>
  <c r="C2578" i="19"/>
  <c r="B2578" i="19"/>
  <c r="C2577" i="19"/>
  <c r="B2577" i="19"/>
  <c r="C2576" i="19"/>
  <c r="B2576" i="19"/>
  <c r="C2575" i="19"/>
  <c r="B2575" i="19"/>
  <c r="C2574" i="19"/>
  <c r="B2574" i="19"/>
  <c r="C2573" i="19"/>
  <c r="B2573" i="19"/>
  <c r="C2572" i="19"/>
  <c r="B2572" i="19"/>
  <c r="C2571" i="19"/>
  <c r="B2571" i="19"/>
  <c r="C2570" i="19"/>
  <c r="B2570" i="19"/>
  <c r="C2569" i="19"/>
  <c r="B2569" i="19"/>
  <c r="C2568" i="19"/>
  <c r="B2568" i="19"/>
  <c r="C2567" i="19"/>
  <c r="B2567" i="19"/>
  <c r="C2566" i="19"/>
  <c r="B2566" i="19"/>
  <c r="C2565" i="19"/>
  <c r="B2565" i="19"/>
  <c r="C2564" i="19"/>
  <c r="B2564" i="19"/>
  <c r="C2563" i="19"/>
  <c r="B2563" i="19"/>
  <c r="C2562" i="19"/>
  <c r="B2562" i="19"/>
  <c r="C2561" i="19"/>
  <c r="B2561" i="19"/>
  <c r="C2560" i="19"/>
  <c r="B2560" i="19"/>
  <c r="C2559" i="19"/>
  <c r="B2559" i="19"/>
  <c r="C2558" i="19"/>
  <c r="B2558" i="19"/>
  <c r="C2557" i="19"/>
  <c r="B2557" i="19"/>
  <c r="C2556" i="19"/>
  <c r="B2556" i="19"/>
  <c r="C2555" i="19"/>
  <c r="B2555" i="19"/>
  <c r="C2554" i="19"/>
  <c r="B2554" i="19"/>
  <c r="C2553" i="19"/>
  <c r="B2553" i="19"/>
  <c r="C2552" i="19"/>
  <c r="B2552" i="19"/>
  <c r="C2551" i="19"/>
  <c r="B2551" i="19"/>
  <c r="C2550" i="19"/>
  <c r="B2550" i="19"/>
  <c r="C2549" i="19"/>
  <c r="B2549" i="19"/>
  <c r="C2548" i="19"/>
  <c r="B2548" i="19"/>
  <c r="C2547" i="19"/>
  <c r="B2547" i="19"/>
  <c r="C2546" i="19"/>
  <c r="B2546" i="19"/>
  <c r="C2545" i="19"/>
  <c r="B2545" i="19"/>
  <c r="C2544" i="19"/>
  <c r="B2544" i="19"/>
  <c r="C2543" i="19"/>
  <c r="B2543" i="19"/>
  <c r="C2542" i="19"/>
  <c r="B2542" i="19"/>
  <c r="C2541" i="19"/>
  <c r="B2541" i="19"/>
  <c r="C2540" i="19"/>
  <c r="B2540" i="19"/>
  <c r="C2539" i="19"/>
  <c r="B2539" i="19"/>
  <c r="C2538" i="19"/>
  <c r="B2538" i="19"/>
  <c r="C2537" i="19"/>
  <c r="B2537" i="19"/>
  <c r="C2536" i="19"/>
  <c r="B2536" i="19"/>
  <c r="C2535" i="19"/>
  <c r="B2535" i="19"/>
  <c r="C2534" i="19"/>
  <c r="B2534" i="19"/>
  <c r="C2533" i="19"/>
  <c r="B2533" i="19"/>
  <c r="C2532" i="19"/>
  <c r="B2532" i="19"/>
  <c r="C2531" i="19"/>
  <c r="B2531" i="19"/>
  <c r="C2530" i="19"/>
  <c r="B2530" i="19"/>
  <c r="C2529" i="19"/>
  <c r="B2529" i="19"/>
  <c r="C2528" i="19"/>
  <c r="B2528" i="19"/>
  <c r="C2527" i="19"/>
  <c r="B2527" i="19"/>
  <c r="C2526" i="19"/>
  <c r="B2526" i="19"/>
  <c r="C2525" i="19"/>
  <c r="B2525" i="19"/>
  <c r="C2524" i="19"/>
  <c r="B2524" i="19"/>
  <c r="C2523" i="19"/>
  <c r="B2523" i="19"/>
  <c r="C2522" i="19"/>
  <c r="B2522" i="19"/>
  <c r="C2521" i="19"/>
  <c r="B2521" i="19"/>
  <c r="C2520" i="19"/>
  <c r="B2520" i="19"/>
  <c r="C2519" i="19"/>
  <c r="B2519" i="19"/>
  <c r="C2518" i="19"/>
  <c r="B2518" i="19"/>
  <c r="C2517" i="19"/>
  <c r="B2517" i="19"/>
  <c r="C2516" i="19"/>
  <c r="B2516" i="19"/>
  <c r="C2515" i="19"/>
  <c r="B2515" i="19"/>
  <c r="C2514" i="19"/>
  <c r="B2514" i="19"/>
  <c r="C2513" i="19"/>
  <c r="B2513" i="19"/>
  <c r="C2512" i="19"/>
  <c r="B2512" i="19"/>
  <c r="C2511" i="19"/>
  <c r="B2511" i="19"/>
  <c r="C2510" i="19"/>
  <c r="B2510" i="19"/>
  <c r="C2509" i="19"/>
  <c r="B2509" i="19"/>
  <c r="C2508" i="19"/>
  <c r="B2508" i="19"/>
  <c r="C2507" i="19"/>
  <c r="B2507" i="19"/>
  <c r="C2506" i="19"/>
  <c r="B2506" i="19"/>
  <c r="C2505" i="19"/>
  <c r="B2505" i="19"/>
  <c r="C2504" i="19"/>
  <c r="B2504" i="19"/>
  <c r="C2503" i="19"/>
  <c r="B2503" i="19"/>
  <c r="C2502" i="19"/>
  <c r="B2502" i="19"/>
  <c r="C2501" i="19"/>
  <c r="B2501" i="19"/>
  <c r="C2500" i="19"/>
  <c r="B2500" i="19"/>
  <c r="C2499" i="19"/>
  <c r="B2499" i="19"/>
  <c r="C2498" i="19"/>
  <c r="B2498" i="19"/>
  <c r="C2497" i="19"/>
  <c r="B2497" i="19"/>
  <c r="C2496" i="19"/>
  <c r="B2496" i="19"/>
  <c r="C2495" i="19"/>
  <c r="B2495" i="19"/>
  <c r="C2494" i="19"/>
  <c r="B2494" i="19"/>
  <c r="C2493" i="19"/>
  <c r="B2493" i="19"/>
  <c r="C2492" i="19"/>
  <c r="B2492" i="19"/>
  <c r="C2491" i="19"/>
  <c r="B2491" i="19"/>
  <c r="C2490" i="19"/>
  <c r="B2490" i="19"/>
  <c r="C2489" i="19"/>
  <c r="B2489" i="19"/>
  <c r="C2488" i="19"/>
  <c r="B2488" i="19"/>
  <c r="C2487" i="19"/>
  <c r="B2487" i="19"/>
  <c r="C2486" i="19"/>
  <c r="B2486" i="19"/>
  <c r="C2485" i="19"/>
  <c r="B2485" i="19"/>
  <c r="C2484" i="19"/>
  <c r="B2484" i="19"/>
  <c r="C2483" i="19"/>
  <c r="B2483" i="19"/>
  <c r="C2482" i="19"/>
  <c r="B2482" i="19"/>
  <c r="C2481" i="19"/>
  <c r="B2481" i="19"/>
  <c r="C2480" i="19"/>
  <c r="B2480" i="19"/>
  <c r="C2479" i="19"/>
  <c r="B2479" i="19"/>
  <c r="C2478" i="19"/>
  <c r="B2478" i="19"/>
  <c r="C2477" i="19"/>
  <c r="B2477" i="19"/>
  <c r="C2476" i="19"/>
  <c r="B2476" i="19"/>
  <c r="C2475" i="19"/>
  <c r="B2475" i="19"/>
  <c r="C2474" i="19"/>
  <c r="B2474" i="19"/>
  <c r="C2473" i="19"/>
  <c r="B2473" i="19"/>
  <c r="C2472" i="19"/>
  <c r="B2472" i="19"/>
  <c r="C2471" i="19"/>
  <c r="B2471" i="19"/>
  <c r="C2470" i="19"/>
  <c r="B2470" i="19"/>
  <c r="C2469" i="19"/>
  <c r="B2469" i="19"/>
  <c r="C2468" i="19"/>
  <c r="B2468" i="19"/>
  <c r="C2467" i="19"/>
  <c r="B2467" i="19"/>
  <c r="C2466" i="19"/>
  <c r="B2466" i="19"/>
  <c r="C2465" i="19"/>
  <c r="B2465" i="19"/>
  <c r="C2464" i="19"/>
  <c r="B2464" i="19"/>
  <c r="C2463" i="19"/>
  <c r="B2463" i="19"/>
  <c r="C2462" i="19"/>
  <c r="B2462" i="19"/>
  <c r="C2461" i="19"/>
  <c r="B2461" i="19"/>
  <c r="C2460" i="19"/>
  <c r="B2460" i="19"/>
  <c r="C2459" i="19"/>
  <c r="B2459" i="19"/>
  <c r="C2458" i="19"/>
  <c r="B2458" i="19"/>
  <c r="C2457" i="19"/>
  <c r="B2457" i="19"/>
  <c r="C2456" i="19"/>
  <c r="B2456" i="19"/>
  <c r="C2455" i="19"/>
  <c r="B2455" i="19"/>
  <c r="C2454" i="19"/>
  <c r="B2454" i="19"/>
  <c r="C2453" i="19"/>
  <c r="B2453" i="19"/>
  <c r="C2452" i="19"/>
  <c r="B2452" i="19"/>
  <c r="C2451" i="19"/>
  <c r="B2451" i="19"/>
  <c r="C2450" i="19"/>
  <c r="B2450" i="19"/>
  <c r="C2449" i="19"/>
  <c r="B2449" i="19"/>
  <c r="C2448" i="19"/>
  <c r="B2448" i="19"/>
  <c r="C2447" i="19"/>
  <c r="B2447" i="19"/>
  <c r="C2446" i="19"/>
  <c r="B2446" i="19"/>
  <c r="C2445" i="19"/>
  <c r="B2445" i="19"/>
  <c r="C2444" i="19"/>
  <c r="B2444" i="19"/>
  <c r="C2443" i="19"/>
  <c r="B2443" i="19"/>
  <c r="C2442" i="19"/>
  <c r="B2442" i="19"/>
  <c r="C2441" i="19"/>
  <c r="B2441" i="19"/>
  <c r="C2440" i="19"/>
  <c r="B2440" i="19"/>
  <c r="C2439" i="19"/>
  <c r="B2439" i="19"/>
  <c r="C2438" i="19"/>
  <c r="B2438" i="19"/>
  <c r="C2437" i="19"/>
  <c r="B2437" i="19"/>
  <c r="C2436" i="19"/>
  <c r="B2436" i="19"/>
  <c r="C2435" i="19"/>
  <c r="B2435" i="19"/>
  <c r="C2434" i="19"/>
  <c r="B2434" i="19"/>
  <c r="C2433" i="19"/>
  <c r="B2433" i="19"/>
  <c r="C2432" i="19"/>
  <c r="B2432" i="19"/>
  <c r="C2431" i="19"/>
  <c r="B2431" i="19"/>
  <c r="C2430" i="19"/>
  <c r="B2430" i="19"/>
  <c r="C2429" i="19"/>
  <c r="B2429" i="19"/>
  <c r="C2428" i="19"/>
  <c r="B2428" i="19"/>
  <c r="C2427" i="19"/>
  <c r="B2427" i="19"/>
  <c r="C2426" i="19"/>
  <c r="B2426" i="19"/>
  <c r="C2425" i="19"/>
  <c r="B2425" i="19"/>
  <c r="C2424" i="19"/>
  <c r="B2424" i="19"/>
  <c r="C2423" i="19"/>
  <c r="B2423" i="19"/>
  <c r="C2422" i="19"/>
  <c r="B2422" i="19"/>
  <c r="C2421" i="19"/>
  <c r="B2421" i="19"/>
  <c r="C2420" i="19"/>
  <c r="B2420" i="19"/>
  <c r="C2419" i="19"/>
  <c r="B2419" i="19"/>
  <c r="C2418" i="19"/>
  <c r="B2418" i="19"/>
  <c r="C2417" i="19"/>
  <c r="B2417" i="19"/>
  <c r="C2416" i="19"/>
  <c r="B2416" i="19"/>
  <c r="C2415" i="19"/>
  <c r="B2415" i="19"/>
  <c r="C2414" i="19"/>
  <c r="B2414" i="19"/>
  <c r="C2413" i="19"/>
  <c r="B2413" i="19"/>
  <c r="C2412" i="19"/>
  <c r="B2412" i="19"/>
  <c r="C2411" i="19"/>
  <c r="B2411" i="19"/>
  <c r="C2410" i="19"/>
  <c r="B2410" i="19"/>
  <c r="C2409" i="19"/>
  <c r="B2409" i="19"/>
  <c r="C2408" i="19"/>
  <c r="B2408" i="19"/>
  <c r="C2407" i="19"/>
  <c r="B2407" i="19"/>
  <c r="C2406" i="19"/>
  <c r="B2406" i="19"/>
  <c r="C2405" i="19"/>
  <c r="B2405" i="19"/>
  <c r="C2404" i="19"/>
  <c r="B2404" i="19"/>
  <c r="C2403" i="19"/>
  <c r="B2403" i="19"/>
  <c r="C2402" i="19"/>
  <c r="B2402" i="19"/>
  <c r="C2401" i="19"/>
  <c r="B2401" i="19"/>
  <c r="C2400" i="19"/>
  <c r="B2400" i="19"/>
  <c r="C2399" i="19"/>
  <c r="B2399" i="19"/>
  <c r="C2398" i="19"/>
  <c r="B2398" i="19"/>
  <c r="C2397" i="19"/>
  <c r="B2397" i="19"/>
  <c r="C2396" i="19"/>
  <c r="B2396" i="19"/>
  <c r="C2395" i="19"/>
  <c r="B2395" i="19"/>
  <c r="C2394" i="19"/>
  <c r="B2394" i="19"/>
  <c r="C2393" i="19"/>
  <c r="B2393" i="19"/>
  <c r="C2392" i="19"/>
  <c r="B2392" i="19"/>
  <c r="C2391" i="19"/>
  <c r="B2391" i="19"/>
  <c r="C2390" i="19"/>
  <c r="B2390" i="19"/>
  <c r="C2389" i="19"/>
  <c r="B2389" i="19"/>
  <c r="C2388" i="19"/>
  <c r="B2388" i="19"/>
  <c r="C2387" i="19"/>
  <c r="B2387" i="19"/>
  <c r="C2386" i="19"/>
  <c r="B2386" i="19"/>
  <c r="C2385" i="19"/>
  <c r="B2385" i="19"/>
  <c r="C2384" i="19"/>
  <c r="B2384" i="19"/>
  <c r="C2383" i="19"/>
  <c r="B2383" i="19"/>
  <c r="C2382" i="19"/>
  <c r="B2382" i="19"/>
  <c r="C2381" i="19"/>
  <c r="B2381" i="19"/>
  <c r="C2380" i="19"/>
  <c r="B2380" i="19"/>
  <c r="C2379" i="19"/>
  <c r="B2379" i="19"/>
  <c r="C2378" i="19"/>
  <c r="B2378" i="19"/>
  <c r="C2377" i="19"/>
  <c r="B2377" i="19"/>
  <c r="C2376" i="19"/>
  <c r="B2376" i="19"/>
  <c r="C2375" i="19"/>
  <c r="B2375" i="19"/>
  <c r="C2374" i="19"/>
  <c r="B2374" i="19"/>
  <c r="C2373" i="19"/>
  <c r="B2373" i="19"/>
  <c r="C2372" i="19"/>
  <c r="B2372" i="19"/>
  <c r="C2371" i="19"/>
  <c r="B2371" i="19"/>
  <c r="C2370" i="19"/>
  <c r="B2370" i="19"/>
  <c r="C2369" i="19"/>
  <c r="B2369" i="19"/>
  <c r="C2368" i="19"/>
  <c r="B2368" i="19"/>
  <c r="C2367" i="19"/>
  <c r="B2367" i="19"/>
  <c r="C2366" i="19"/>
  <c r="B2366" i="19"/>
  <c r="C2365" i="19"/>
  <c r="B2365" i="19"/>
  <c r="C2364" i="19"/>
  <c r="B2364" i="19"/>
  <c r="C2363" i="19"/>
  <c r="B2363" i="19"/>
  <c r="C2362" i="19"/>
  <c r="B2362" i="19"/>
  <c r="C2361" i="19"/>
  <c r="B2361" i="19"/>
  <c r="C2360" i="19"/>
  <c r="B2360" i="19"/>
  <c r="C2359" i="19"/>
  <c r="B2359" i="19"/>
  <c r="C2358" i="19"/>
  <c r="B2358" i="19"/>
  <c r="C2357" i="19"/>
  <c r="B2357" i="19"/>
  <c r="C2356" i="19"/>
  <c r="B2356" i="19"/>
  <c r="C2355" i="19"/>
  <c r="B2355" i="19"/>
  <c r="C2354" i="19"/>
  <c r="B2354" i="19"/>
  <c r="C2353" i="19"/>
  <c r="B2353" i="19"/>
  <c r="C2352" i="19"/>
  <c r="B2352" i="19"/>
  <c r="C2351" i="19"/>
  <c r="B2351" i="19"/>
  <c r="C2350" i="19"/>
  <c r="B2350" i="19"/>
  <c r="C2349" i="19"/>
  <c r="B2349" i="19"/>
  <c r="C2348" i="19"/>
  <c r="B2348" i="19"/>
  <c r="C2347" i="19"/>
  <c r="B2347" i="19"/>
  <c r="C2346" i="19"/>
  <c r="B2346" i="19"/>
  <c r="C2345" i="19"/>
  <c r="B2345" i="19"/>
  <c r="C2344" i="19"/>
  <c r="B2344" i="19"/>
  <c r="C2343" i="19"/>
  <c r="B2343" i="19"/>
  <c r="C2342" i="19"/>
  <c r="B2342" i="19"/>
  <c r="C2341" i="19"/>
  <c r="B2341" i="19"/>
  <c r="C2340" i="19"/>
  <c r="B2340" i="19"/>
  <c r="C2339" i="19"/>
  <c r="B2339" i="19"/>
  <c r="C2338" i="19"/>
  <c r="B2338" i="19"/>
  <c r="C2337" i="19"/>
  <c r="B2337" i="19"/>
  <c r="C2336" i="19"/>
  <c r="B2336" i="19"/>
  <c r="C2335" i="19"/>
  <c r="B2335" i="19"/>
  <c r="C2334" i="19"/>
  <c r="B2334" i="19"/>
  <c r="C2333" i="19"/>
  <c r="B2333" i="19"/>
  <c r="C2332" i="19"/>
  <c r="B2332" i="19"/>
  <c r="C2331" i="19"/>
  <c r="B2331" i="19"/>
  <c r="C2330" i="19"/>
  <c r="B2330" i="19"/>
  <c r="C2329" i="19"/>
  <c r="B2329" i="19"/>
  <c r="C2328" i="19"/>
  <c r="B2328" i="19"/>
  <c r="C2327" i="19"/>
  <c r="B2327" i="19"/>
  <c r="C2326" i="19"/>
  <c r="B2326" i="19"/>
  <c r="C2325" i="19"/>
  <c r="B2325" i="19"/>
  <c r="C2324" i="19"/>
  <c r="B2324" i="19"/>
  <c r="C2323" i="19"/>
  <c r="B2323" i="19"/>
  <c r="C2322" i="19"/>
  <c r="B2322" i="19"/>
  <c r="C2321" i="19"/>
  <c r="B2321" i="19"/>
  <c r="C2320" i="19"/>
  <c r="B2320" i="19"/>
  <c r="C2319" i="19"/>
  <c r="B2319" i="19"/>
  <c r="C2318" i="19"/>
  <c r="B2318" i="19"/>
  <c r="C2317" i="19"/>
  <c r="B2317" i="19"/>
  <c r="C2316" i="19"/>
  <c r="B2316" i="19"/>
  <c r="C2315" i="19"/>
  <c r="B2315" i="19"/>
  <c r="C2314" i="19"/>
  <c r="B2314" i="19"/>
  <c r="C2313" i="19"/>
  <c r="B2313" i="19"/>
  <c r="C2312" i="19"/>
  <c r="B2312" i="19"/>
  <c r="C2311" i="19"/>
  <c r="B2311" i="19"/>
  <c r="C2310" i="19"/>
  <c r="B2310" i="19"/>
  <c r="C2309" i="19"/>
  <c r="B2309" i="19"/>
  <c r="C2308" i="19"/>
  <c r="B2308" i="19"/>
  <c r="C2307" i="19"/>
  <c r="B2307" i="19"/>
  <c r="C2306" i="19"/>
  <c r="B2306" i="19"/>
  <c r="C2305" i="19"/>
  <c r="B2305" i="19"/>
  <c r="C2304" i="19"/>
  <c r="B2304" i="19"/>
  <c r="C2303" i="19"/>
  <c r="B2303" i="19"/>
  <c r="C2302" i="19"/>
  <c r="B2302" i="19"/>
  <c r="C2301" i="19"/>
  <c r="B2301" i="19"/>
  <c r="C2300" i="19"/>
  <c r="B2300" i="19"/>
  <c r="C2299" i="19"/>
  <c r="B2299" i="19"/>
  <c r="C2298" i="19"/>
  <c r="B2298" i="19"/>
  <c r="C2297" i="19"/>
  <c r="B2297" i="19"/>
  <c r="C2296" i="19"/>
  <c r="B2296" i="19"/>
  <c r="C2295" i="19"/>
  <c r="B2295" i="19"/>
  <c r="C2294" i="19"/>
  <c r="B2294" i="19"/>
  <c r="C2293" i="19"/>
  <c r="B2293" i="19"/>
  <c r="C2292" i="19"/>
  <c r="B2292" i="19"/>
  <c r="C2291" i="19"/>
  <c r="B2291" i="19"/>
  <c r="C2290" i="19"/>
  <c r="B2290" i="19"/>
  <c r="C2289" i="19"/>
  <c r="B2289" i="19"/>
  <c r="C2288" i="19"/>
  <c r="B2288" i="19"/>
  <c r="C2287" i="19"/>
  <c r="B2287" i="19"/>
  <c r="C2286" i="19"/>
  <c r="B2286" i="19"/>
  <c r="C2285" i="19"/>
  <c r="B2285" i="19"/>
  <c r="C2284" i="19"/>
  <c r="B2284" i="19"/>
  <c r="C2283" i="19"/>
  <c r="B2283" i="19"/>
  <c r="C2282" i="19"/>
  <c r="B2282" i="19"/>
  <c r="C2281" i="19"/>
  <c r="B2281" i="19"/>
  <c r="C2280" i="19"/>
  <c r="B2280" i="19"/>
  <c r="C2279" i="19"/>
  <c r="B2279" i="19"/>
  <c r="C2278" i="19"/>
  <c r="B2278" i="19"/>
  <c r="C2277" i="19"/>
  <c r="B2277" i="19"/>
  <c r="C2276" i="19"/>
  <c r="B2276" i="19"/>
  <c r="C2275" i="19"/>
  <c r="B2275" i="19"/>
  <c r="C2274" i="19"/>
  <c r="B2274" i="19"/>
  <c r="C2273" i="19"/>
  <c r="B2273" i="19"/>
  <c r="C2272" i="19"/>
  <c r="B2272" i="19"/>
  <c r="C2271" i="19"/>
  <c r="B2271" i="19"/>
  <c r="C2270" i="19"/>
  <c r="B2270" i="19"/>
  <c r="C2269" i="19"/>
  <c r="B2269" i="19"/>
  <c r="C2268" i="19"/>
  <c r="B2268" i="19"/>
  <c r="C2267" i="19"/>
  <c r="B2267" i="19"/>
  <c r="C2266" i="19"/>
  <c r="B2266" i="19"/>
  <c r="C2265" i="19"/>
  <c r="B2265" i="19"/>
  <c r="C2264" i="19"/>
  <c r="B2264" i="19"/>
  <c r="C2263" i="19"/>
  <c r="B2263" i="19"/>
  <c r="C2262" i="19"/>
  <c r="B2262" i="19"/>
  <c r="C2261" i="19"/>
  <c r="B2261" i="19"/>
  <c r="C2260" i="19"/>
  <c r="B2260" i="19"/>
  <c r="C2259" i="19"/>
  <c r="B2259" i="19"/>
  <c r="C2258" i="19"/>
  <c r="B2258" i="19"/>
  <c r="C2257" i="19"/>
  <c r="B2257" i="19"/>
  <c r="C2256" i="19"/>
  <c r="B2256" i="19"/>
  <c r="C2255" i="19"/>
  <c r="B2255" i="19"/>
  <c r="C2254" i="19"/>
  <c r="B2254" i="19"/>
  <c r="C2253" i="19"/>
  <c r="B2253" i="19"/>
  <c r="C2252" i="19"/>
  <c r="B2252" i="19"/>
  <c r="C2251" i="19"/>
  <c r="B2251" i="19"/>
  <c r="C2250" i="19"/>
  <c r="B2250" i="19"/>
  <c r="C2249" i="19"/>
  <c r="B2249" i="19"/>
  <c r="C2248" i="19"/>
  <c r="B2248" i="19"/>
  <c r="C2247" i="19"/>
  <c r="B2247" i="19"/>
  <c r="C2246" i="19"/>
  <c r="B2246" i="19"/>
  <c r="C2245" i="19"/>
  <c r="B2245" i="19"/>
  <c r="C2244" i="19"/>
  <c r="B2244" i="19"/>
  <c r="C2243" i="19"/>
  <c r="B2243" i="19"/>
  <c r="C2242" i="19"/>
  <c r="B2242" i="19"/>
  <c r="C2241" i="19"/>
  <c r="B2241" i="19"/>
  <c r="C2240" i="19"/>
  <c r="B2240" i="19"/>
  <c r="C2239" i="19"/>
  <c r="B2239" i="19"/>
  <c r="C2238" i="19"/>
  <c r="B2238" i="19"/>
  <c r="C2237" i="19"/>
  <c r="B2237" i="19"/>
  <c r="C2236" i="19"/>
  <c r="B2236" i="19"/>
  <c r="C2235" i="19"/>
  <c r="B2235" i="19"/>
  <c r="C2234" i="19"/>
  <c r="B2234" i="19"/>
  <c r="C2233" i="19"/>
  <c r="B2233" i="19"/>
  <c r="C2232" i="19"/>
  <c r="B2232" i="19"/>
  <c r="C2231" i="19"/>
  <c r="B2231" i="19"/>
  <c r="C2230" i="19"/>
  <c r="B2230" i="19"/>
  <c r="C2229" i="19"/>
  <c r="B2229" i="19"/>
  <c r="C2228" i="19"/>
  <c r="B2228" i="19"/>
  <c r="C2227" i="19"/>
  <c r="B2227" i="19"/>
  <c r="C2226" i="19"/>
  <c r="B2226" i="19"/>
  <c r="C2225" i="19"/>
  <c r="B2225" i="19"/>
  <c r="C2224" i="19"/>
  <c r="B2224" i="19"/>
  <c r="C2223" i="19"/>
  <c r="B2223" i="19"/>
  <c r="C2222" i="19"/>
  <c r="B2222" i="19"/>
  <c r="C2221" i="19"/>
  <c r="B2221" i="19"/>
  <c r="C2220" i="19"/>
  <c r="B2220" i="19"/>
  <c r="C2219" i="19"/>
  <c r="B2219" i="19"/>
  <c r="C2218" i="19"/>
  <c r="B2218" i="19"/>
  <c r="C2217" i="19"/>
  <c r="B2217" i="19"/>
  <c r="C2216" i="19"/>
  <c r="B2216" i="19"/>
  <c r="C2215" i="19"/>
  <c r="B2215" i="19"/>
  <c r="C2214" i="19"/>
  <c r="B2214" i="19"/>
  <c r="C2213" i="19"/>
  <c r="B2213" i="19"/>
  <c r="C2212" i="19"/>
  <c r="B2212" i="19"/>
  <c r="C2211" i="19"/>
  <c r="B2211" i="19"/>
  <c r="C2210" i="19"/>
  <c r="B2210" i="19"/>
  <c r="C2209" i="19"/>
  <c r="B2209" i="19"/>
  <c r="C2208" i="19"/>
  <c r="B2208" i="19"/>
  <c r="C2207" i="19"/>
  <c r="B2207" i="19"/>
  <c r="C2206" i="19"/>
  <c r="B2206" i="19"/>
  <c r="C2205" i="19"/>
  <c r="B2205" i="19"/>
  <c r="C2204" i="19"/>
  <c r="B2204" i="19"/>
  <c r="C2203" i="19"/>
  <c r="B2203" i="19"/>
  <c r="C2202" i="19"/>
  <c r="B2202" i="19"/>
  <c r="C2201" i="19"/>
  <c r="B2201" i="19"/>
  <c r="C2200" i="19"/>
  <c r="B2200" i="19"/>
  <c r="C2199" i="19"/>
  <c r="B2199" i="19"/>
  <c r="C2198" i="19"/>
  <c r="B2198" i="19"/>
  <c r="C2197" i="19"/>
  <c r="B2197" i="19"/>
  <c r="C2196" i="19"/>
  <c r="B2196" i="19"/>
  <c r="C2195" i="19"/>
  <c r="B2195" i="19"/>
  <c r="C2194" i="19"/>
  <c r="B2194" i="19"/>
  <c r="C2193" i="19"/>
  <c r="B2193" i="19"/>
  <c r="C2192" i="19"/>
  <c r="B2192" i="19"/>
  <c r="C2191" i="19"/>
  <c r="B2191" i="19"/>
  <c r="C2190" i="19"/>
  <c r="B2190" i="19"/>
  <c r="C2189" i="19"/>
  <c r="B2189" i="19"/>
  <c r="C2188" i="19"/>
  <c r="B2188" i="19"/>
  <c r="C2187" i="19"/>
  <c r="B2187" i="19"/>
  <c r="C2186" i="19"/>
  <c r="B2186" i="19"/>
  <c r="C2185" i="19"/>
  <c r="B2185" i="19"/>
  <c r="C2184" i="19"/>
  <c r="B2184" i="19"/>
  <c r="C2183" i="19"/>
  <c r="B2183" i="19"/>
  <c r="C2182" i="19"/>
  <c r="B2182" i="19"/>
  <c r="C2181" i="19"/>
  <c r="B2181" i="19"/>
  <c r="C2180" i="19"/>
  <c r="B2180" i="19"/>
  <c r="C2179" i="19"/>
  <c r="B2179" i="19"/>
  <c r="C2178" i="19"/>
  <c r="B2178" i="19"/>
  <c r="C2177" i="19"/>
  <c r="B2177" i="19"/>
  <c r="C2176" i="19"/>
  <c r="B2176" i="19"/>
  <c r="C2175" i="19"/>
  <c r="B2175" i="19"/>
  <c r="C2174" i="19"/>
  <c r="B2174" i="19"/>
  <c r="C2173" i="19"/>
  <c r="B2173" i="19"/>
  <c r="C2172" i="19"/>
  <c r="B2172" i="19"/>
  <c r="C2171" i="19"/>
  <c r="B2171" i="19"/>
  <c r="C2170" i="19"/>
  <c r="B2170" i="19"/>
  <c r="C2169" i="19"/>
  <c r="B2169" i="19"/>
  <c r="C2168" i="19"/>
  <c r="B2168" i="19"/>
  <c r="C2167" i="19"/>
  <c r="B2167" i="19"/>
  <c r="C2166" i="19"/>
  <c r="B2166" i="19"/>
  <c r="C2165" i="19"/>
  <c r="B2165" i="19"/>
  <c r="C2164" i="19"/>
  <c r="B2164" i="19"/>
  <c r="C2163" i="19"/>
  <c r="B2163" i="19"/>
  <c r="C2162" i="19"/>
  <c r="B2162" i="19"/>
  <c r="C2161" i="19"/>
  <c r="B2161" i="19"/>
  <c r="C2160" i="19"/>
  <c r="B2160" i="19"/>
  <c r="C2159" i="19"/>
  <c r="B2159" i="19"/>
  <c r="C2158" i="19"/>
  <c r="B2158" i="19"/>
  <c r="C2157" i="19"/>
  <c r="B2157" i="19"/>
  <c r="C2156" i="19"/>
  <c r="B2156" i="19"/>
  <c r="C2155" i="19"/>
  <c r="B2155" i="19"/>
  <c r="C2154" i="19"/>
  <c r="B2154" i="19"/>
  <c r="C2153" i="19"/>
  <c r="B2153" i="19"/>
  <c r="C2152" i="19"/>
  <c r="B2152" i="19"/>
  <c r="C2151" i="19"/>
  <c r="B2151" i="19"/>
  <c r="C2150" i="19"/>
  <c r="B2150" i="19"/>
  <c r="C2149" i="19"/>
  <c r="B2149" i="19"/>
  <c r="C2148" i="19"/>
  <c r="B2148" i="19"/>
  <c r="C2147" i="19"/>
  <c r="B2147" i="19"/>
  <c r="C2146" i="19"/>
  <c r="B2146" i="19"/>
  <c r="C2145" i="19"/>
  <c r="B2145" i="19"/>
  <c r="C2144" i="19"/>
  <c r="B2144" i="19"/>
  <c r="C2143" i="19"/>
  <c r="B2143" i="19"/>
  <c r="C2142" i="19"/>
  <c r="B2142" i="19"/>
  <c r="C2141" i="19"/>
  <c r="B2141" i="19"/>
  <c r="C2140" i="19"/>
  <c r="B2140" i="19"/>
  <c r="C2139" i="19"/>
  <c r="B2139" i="19"/>
  <c r="C2138" i="19"/>
  <c r="B2138" i="19"/>
  <c r="C2137" i="19"/>
  <c r="B2137" i="19"/>
  <c r="C2136" i="19"/>
  <c r="B2136" i="19"/>
  <c r="C2135" i="19"/>
  <c r="B2135" i="19"/>
  <c r="C2134" i="19"/>
  <c r="B2134" i="19"/>
  <c r="C2133" i="19"/>
  <c r="B2133" i="19"/>
  <c r="C2132" i="19"/>
  <c r="B2132" i="19"/>
  <c r="C2131" i="19"/>
  <c r="B2131" i="19"/>
  <c r="C2130" i="19"/>
  <c r="B2130" i="19"/>
  <c r="C2129" i="19"/>
  <c r="B2129" i="19"/>
  <c r="C2128" i="19"/>
  <c r="B2128" i="19"/>
  <c r="C2127" i="19"/>
  <c r="B2127" i="19"/>
  <c r="C2126" i="19"/>
  <c r="B2126" i="19"/>
  <c r="C2125" i="19"/>
  <c r="B2125" i="19"/>
  <c r="C2124" i="19"/>
  <c r="B2124" i="19"/>
  <c r="C2123" i="19"/>
  <c r="B2123" i="19"/>
  <c r="C2122" i="19"/>
  <c r="B2122" i="19"/>
  <c r="C2121" i="19"/>
  <c r="B2121" i="19"/>
  <c r="C2120" i="19"/>
  <c r="B2120" i="19"/>
  <c r="C2119" i="19"/>
  <c r="B2119" i="19"/>
  <c r="C2118" i="19"/>
  <c r="B2118" i="19"/>
  <c r="C2117" i="19"/>
  <c r="B2117" i="19"/>
  <c r="C2116" i="19"/>
  <c r="B2116" i="19"/>
  <c r="C2115" i="19"/>
  <c r="B2115" i="19"/>
  <c r="C2114" i="19"/>
  <c r="B2114" i="19"/>
  <c r="C2113" i="19"/>
  <c r="B2113" i="19"/>
  <c r="C2112" i="19"/>
  <c r="B2112" i="19"/>
  <c r="C2111" i="19"/>
  <c r="B2111" i="19"/>
  <c r="C2110" i="19"/>
  <c r="B2110" i="19"/>
  <c r="C2109" i="19"/>
  <c r="B2109" i="19"/>
  <c r="C2108" i="19"/>
  <c r="B2108" i="19"/>
  <c r="C2107" i="19"/>
  <c r="B2107" i="19"/>
  <c r="C2106" i="19"/>
  <c r="B2106" i="19"/>
  <c r="C2105" i="19"/>
  <c r="B2105" i="19"/>
  <c r="C2104" i="19"/>
  <c r="B2104" i="19"/>
  <c r="C2103" i="19"/>
  <c r="B2103" i="19"/>
  <c r="C2102" i="19"/>
  <c r="B2102" i="19"/>
  <c r="C2101" i="19"/>
  <c r="B2101" i="19"/>
  <c r="C2100" i="19"/>
  <c r="B2100" i="19"/>
  <c r="C2099" i="19"/>
  <c r="B2099" i="19"/>
  <c r="C2098" i="19"/>
  <c r="B2098" i="19"/>
  <c r="C2097" i="19"/>
  <c r="B2097" i="19"/>
  <c r="C2096" i="19"/>
  <c r="B2096" i="19"/>
  <c r="C2095" i="19"/>
  <c r="B2095" i="19"/>
  <c r="C2094" i="19"/>
  <c r="B2094" i="19"/>
  <c r="C2093" i="19"/>
  <c r="B2093" i="19"/>
  <c r="C2092" i="19"/>
  <c r="B2092" i="19"/>
  <c r="C2091" i="19"/>
  <c r="B2091" i="19"/>
  <c r="C2090" i="19"/>
  <c r="B2090" i="19"/>
  <c r="C2089" i="19"/>
  <c r="B2089" i="19"/>
  <c r="C2088" i="19"/>
  <c r="B2088" i="19"/>
  <c r="C2087" i="19"/>
  <c r="B2087" i="19"/>
  <c r="C2086" i="19"/>
  <c r="B2086" i="19"/>
  <c r="C2085" i="19"/>
  <c r="B2085" i="19"/>
  <c r="C2084" i="19"/>
  <c r="B2084" i="19"/>
  <c r="C2083" i="19"/>
  <c r="B2083" i="19"/>
  <c r="C2082" i="19"/>
  <c r="B2082" i="19"/>
  <c r="C2081" i="19"/>
  <c r="B2081" i="19"/>
  <c r="C2080" i="19"/>
  <c r="B2080" i="19"/>
  <c r="C2079" i="19"/>
  <c r="B2079" i="19"/>
  <c r="C2078" i="19"/>
  <c r="B2078" i="19"/>
  <c r="C2077" i="19"/>
  <c r="B2077" i="19"/>
  <c r="C2076" i="19"/>
  <c r="B2076" i="19"/>
  <c r="C2075" i="19"/>
  <c r="B2075" i="19"/>
  <c r="C2074" i="19"/>
  <c r="B2074" i="19"/>
  <c r="C2073" i="19"/>
  <c r="B2073" i="19"/>
  <c r="C2072" i="19"/>
  <c r="B2072" i="19"/>
  <c r="C2071" i="19"/>
  <c r="B2071" i="19"/>
  <c r="C2070" i="19"/>
  <c r="B2070" i="19"/>
  <c r="C2069" i="19"/>
  <c r="B2069" i="19"/>
  <c r="C2068" i="19"/>
  <c r="B2068" i="19"/>
  <c r="C2067" i="19"/>
  <c r="B2067" i="19"/>
  <c r="C2066" i="19"/>
  <c r="B2066" i="19"/>
  <c r="C2065" i="19"/>
  <c r="B2065" i="19"/>
  <c r="C2064" i="19"/>
  <c r="B2064" i="19"/>
  <c r="C2063" i="19"/>
  <c r="B2063" i="19"/>
  <c r="C2062" i="19"/>
  <c r="B2062" i="19"/>
  <c r="C2061" i="19"/>
  <c r="B2061" i="19"/>
  <c r="C2060" i="19"/>
  <c r="B2060" i="19"/>
  <c r="C2059" i="19"/>
  <c r="B2059" i="19"/>
  <c r="C2058" i="19"/>
  <c r="B2058" i="19"/>
  <c r="C2057" i="19"/>
  <c r="B2057" i="19"/>
  <c r="C2056" i="19"/>
  <c r="B2056" i="19"/>
  <c r="C2055" i="19"/>
  <c r="B2055" i="19"/>
  <c r="C2054" i="19"/>
  <c r="B2054" i="19"/>
  <c r="C2053" i="19"/>
  <c r="B2053" i="19"/>
  <c r="C2052" i="19"/>
  <c r="B2052" i="19"/>
  <c r="C2051" i="19"/>
  <c r="B2051" i="19"/>
  <c r="C2050" i="19"/>
  <c r="B2050" i="19"/>
  <c r="C2049" i="19"/>
  <c r="B2049" i="19"/>
  <c r="C2048" i="19"/>
  <c r="B2048" i="19"/>
  <c r="C2047" i="19"/>
  <c r="B2047" i="19"/>
  <c r="C2046" i="19"/>
  <c r="B2046" i="19"/>
  <c r="C2045" i="19"/>
  <c r="B2045" i="19"/>
  <c r="C2044" i="19"/>
  <c r="B2044" i="19"/>
  <c r="C2043" i="19"/>
  <c r="B2043" i="19"/>
  <c r="C2042" i="19"/>
  <c r="B2042" i="19"/>
  <c r="C2041" i="19"/>
  <c r="B2041" i="19"/>
  <c r="C2040" i="19"/>
  <c r="B2040" i="19"/>
  <c r="C2039" i="19"/>
  <c r="B2039" i="19"/>
  <c r="C2038" i="19"/>
  <c r="B2038" i="19"/>
  <c r="C2037" i="19"/>
  <c r="B2037" i="19"/>
  <c r="C2036" i="19"/>
  <c r="B2036" i="19"/>
  <c r="C2035" i="19"/>
  <c r="B2035" i="19"/>
  <c r="C2034" i="19"/>
  <c r="B2034" i="19"/>
  <c r="C2033" i="19"/>
  <c r="B2033" i="19"/>
  <c r="C2032" i="19"/>
  <c r="B2032" i="19"/>
  <c r="C2031" i="19"/>
  <c r="B2031" i="19"/>
  <c r="C2030" i="19"/>
  <c r="B2030" i="19"/>
  <c r="C2029" i="19"/>
  <c r="B2029" i="19"/>
  <c r="C2028" i="19"/>
  <c r="B2028" i="19"/>
  <c r="C2027" i="19"/>
  <c r="B2027" i="19"/>
  <c r="C2026" i="19"/>
  <c r="B2026" i="19"/>
  <c r="C2025" i="19"/>
  <c r="B2025" i="19"/>
  <c r="C2024" i="19"/>
  <c r="B2024" i="19"/>
  <c r="C2023" i="19"/>
  <c r="B2023" i="19"/>
  <c r="C2022" i="19"/>
  <c r="B2022" i="19"/>
  <c r="C2021" i="19"/>
  <c r="B2021" i="19"/>
  <c r="C2020" i="19"/>
  <c r="B2020" i="19"/>
  <c r="C2019" i="19"/>
  <c r="B2019" i="19"/>
  <c r="C2018" i="19"/>
  <c r="B2018" i="19"/>
  <c r="C2017" i="19"/>
  <c r="B2017" i="19"/>
  <c r="C2016" i="19"/>
  <c r="B2016" i="19"/>
  <c r="C2015" i="19"/>
  <c r="B2015" i="19"/>
  <c r="C2014" i="19"/>
  <c r="B2014" i="19"/>
  <c r="C2013" i="19"/>
  <c r="B2013" i="19"/>
  <c r="C2012" i="19"/>
  <c r="B2012" i="19"/>
  <c r="C2011" i="19"/>
  <c r="B2011" i="19"/>
  <c r="C2010" i="19"/>
  <c r="B2010" i="19"/>
  <c r="C2009" i="19"/>
  <c r="B2009" i="19"/>
  <c r="C2008" i="19"/>
  <c r="B2008" i="19"/>
  <c r="C2007" i="19"/>
  <c r="B2007" i="19"/>
  <c r="C2006" i="19"/>
  <c r="B2006" i="19"/>
  <c r="C2005" i="19"/>
  <c r="B2005" i="19"/>
  <c r="C2004" i="19"/>
  <c r="B2004" i="19"/>
  <c r="C2003" i="19"/>
  <c r="B2003" i="19"/>
  <c r="C2002" i="19"/>
  <c r="B2002" i="19"/>
  <c r="C2001" i="19"/>
  <c r="B2001" i="19"/>
  <c r="C2000" i="19"/>
  <c r="B2000" i="19"/>
  <c r="C1999" i="19"/>
  <c r="B1999" i="19"/>
  <c r="C1998" i="19"/>
  <c r="B1998" i="19"/>
  <c r="C1997" i="19"/>
  <c r="B1997" i="19"/>
  <c r="C1996" i="19"/>
  <c r="B1996" i="19"/>
  <c r="C1995" i="19"/>
  <c r="B1995" i="19"/>
  <c r="C1994" i="19"/>
  <c r="B1994" i="19"/>
  <c r="C1993" i="19"/>
  <c r="B1993" i="19"/>
  <c r="C1992" i="19"/>
  <c r="B1992" i="19"/>
  <c r="C1991" i="19"/>
  <c r="B1991" i="19"/>
  <c r="C1990" i="19"/>
  <c r="B1990" i="19"/>
  <c r="C1989" i="19"/>
  <c r="B1989" i="19"/>
  <c r="C1988" i="19"/>
  <c r="B1988" i="19"/>
  <c r="C1987" i="19"/>
  <c r="B1987" i="19"/>
  <c r="C1986" i="19"/>
  <c r="B1986" i="19"/>
  <c r="C1985" i="19"/>
  <c r="B1985" i="19"/>
  <c r="C1984" i="19"/>
  <c r="B1984" i="19"/>
  <c r="C1983" i="19"/>
  <c r="B1983" i="19"/>
  <c r="C1982" i="19"/>
  <c r="B1982" i="19"/>
  <c r="C1981" i="19"/>
  <c r="B1981" i="19"/>
  <c r="C1980" i="19"/>
  <c r="B1980" i="19"/>
  <c r="C1979" i="19"/>
  <c r="B1979" i="19"/>
  <c r="C1978" i="19"/>
  <c r="B1978" i="19"/>
  <c r="C1977" i="19"/>
  <c r="B1977" i="19"/>
  <c r="C1976" i="19"/>
  <c r="B1976" i="19"/>
  <c r="C1975" i="19"/>
  <c r="B1975" i="19"/>
  <c r="C1974" i="19"/>
  <c r="B1974" i="19"/>
  <c r="C1973" i="19"/>
  <c r="B1973" i="19"/>
  <c r="C1972" i="19"/>
  <c r="B1972" i="19"/>
  <c r="C1971" i="19"/>
  <c r="B1971" i="19"/>
  <c r="C1970" i="19"/>
  <c r="B1970" i="19"/>
  <c r="C1969" i="19"/>
  <c r="B1969" i="19"/>
  <c r="C1968" i="19"/>
  <c r="B1968" i="19"/>
  <c r="C1967" i="19"/>
  <c r="B1967" i="19"/>
  <c r="C1966" i="19"/>
  <c r="B1966" i="19"/>
  <c r="C1965" i="19"/>
  <c r="B1965" i="19"/>
  <c r="C1964" i="19"/>
  <c r="B1964" i="19"/>
  <c r="C1963" i="19"/>
  <c r="B1963" i="19"/>
  <c r="C1962" i="19"/>
  <c r="B1962" i="19"/>
  <c r="C1961" i="19"/>
  <c r="B1961" i="19"/>
  <c r="C1960" i="19"/>
  <c r="B1960" i="19"/>
  <c r="C1959" i="19"/>
  <c r="B1959" i="19"/>
  <c r="C1958" i="19"/>
  <c r="B1958" i="19"/>
  <c r="C1957" i="19"/>
  <c r="B1957" i="19"/>
  <c r="C1956" i="19"/>
  <c r="B1956" i="19"/>
  <c r="C1955" i="19"/>
  <c r="B1955" i="19"/>
  <c r="C1954" i="19"/>
  <c r="B1954" i="19"/>
  <c r="C1953" i="19"/>
  <c r="B1953" i="19"/>
  <c r="C1952" i="19"/>
  <c r="B1952" i="19"/>
  <c r="C1951" i="19"/>
  <c r="B1951" i="19"/>
  <c r="C1950" i="19"/>
  <c r="B1950" i="19"/>
  <c r="C1949" i="19"/>
  <c r="B1949" i="19"/>
  <c r="C1948" i="19"/>
  <c r="B1948" i="19"/>
  <c r="C1947" i="19"/>
  <c r="B1947" i="19"/>
  <c r="C1946" i="19"/>
  <c r="B1946" i="19"/>
  <c r="C1945" i="19"/>
  <c r="B1945" i="19"/>
  <c r="C1944" i="19"/>
  <c r="B1944" i="19"/>
  <c r="C1943" i="19"/>
  <c r="B1943" i="19"/>
  <c r="C1942" i="19"/>
  <c r="B1942" i="19"/>
  <c r="C1941" i="19"/>
  <c r="B1941" i="19"/>
  <c r="C1940" i="19"/>
  <c r="B1940" i="19"/>
  <c r="C1939" i="19"/>
  <c r="B1939" i="19"/>
  <c r="C1938" i="19"/>
  <c r="B1938" i="19"/>
  <c r="C1937" i="19"/>
  <c r="B1937" i="19"/>
  <c r="C1936" i="19"/>
  <c r="B1936" i="19"/>
  <c r="C1935" i="19"/>
  <c r="B1935" i="19"/>
  <c r="C1934" i="19"/>
  <c r="B1934" i="19"/>
  <c r="C1933" i="19"/>
  <c r="B1933" i="19"/>
  <c r="C1932" i="19"/>
  <c r="B1932" i="19"/>
  <c r="C1931" i="19"/>
  <c r="B1931" i="19"/>
  <c r="C1930" i="19"/>
  <c r="B1930" i="19"/>
  <c r="C1929" i="19"/>
  <c r="B1929" i="19"/>
  <c r="C1928" i="19"/>
  <c r="B1928" i="19"/>
  <c r="C1927" i="19"/>
  <c r="B1927" i="19"/>
  <c r="C1926" i="19"/>
  <c r="B1926" i="19"/>
  <c r="C1925" i="19"/>
  <c r="B1925" i="19"/>
  <c r="C1924" i="19"/>
  <c r="B1924" i="19"/>
  <c r="C1923" i="19"/>
  <c r="B1923" i="19"/>
  <c r="C1922" i="19"/>
  <c r="B1922" i="19"/>
  <c r="C1921" i="19"/>
  <c r="B1921" i="19"/>
  <c r="C1920" i="19"/>
  <c r="B1920" i="19"/>
  <c r="C1919" i="19"/>
  <c r="B1919" i="19"/>
  <c r="C1918" i="19"/>
  <c r="B1918" i="19"/>
  <c r="C1917" i="19"/>
  <c r="B1917" i="19"/>
  <c r="C1916" i="19"/>
  <c r="B1916" i="19"/>
  <c r="C1915" i="19"/>
  <c r="B1915" i="19"/>
  <c r="C1914" i="19"/>
  <c r="B1914" i="19"/>
  <c r="C1913" i="19"/>
  <c r="B1913" i="19"/>
  <c r="C1912" i="19"/>
  <c r="B1912" i="19"/>
  <c r="C1911" i="19"/>
  <c r="B1911" i="19"/>
  <c r="C1910" i="19"/>
  <c r="B1910" i="19"/>
  <c r="C1909" i="19"/>
  <c r="B1909" i="19"/>
  <c r="C1908" i="19"/>
  <c r="B1908" i="19"/>
  <c r="C1907" i="19"/>
  <c r="B1907" i="19"/>
  <c r="C1906" i="19"/>
  <c r="B1906" i="19"/>
  <c r="C1905" i="19"/>
  <c r="B1905" i="19"/>
  <c r="C1904" i="19"/>
  <c r="B1904" i="19"/>
  <c r="C1903" i="19"/>
  <c r="B1903" i="19"/>
  <c r="C1902" i="19"/>
  <c r="B1902" i="19"/>
  <c r="C1901" i="19"/>
  <c r="B1901" i="19"/>
  <c r="C1900" i="19"/>
  <c r="B1900" i="19"/>
  <c r="C1899" i="19"/>
  <c r="B1899" i="19"/>
  <c r="C1898" i="19"/>
  <c r="B1898" i="19"/>
  <c r="C1897" i="19"/>
  <c r="B1897" i="19"/>
  <c r="C1896" i="19"/>
  <c r="B1896" i="19"/>
  <c r="C1895" i="19"/>
  <c r="B1895" i="19"/>
  <c r="C1894" i="19"/>
  <c r="B1894" i="19"/>
  <c r="C1893" i="19"/>
  <c r="B1893" i="19"/>
  <c r="C1892" i="19"/>
  <c r="B1892" i="19"/>
  <c r="C1891" i="19"/>
  <c r="B1891" i="19"/>
  <c r="C1890" i="19"/>
  <c r="B1890" i="19"/>
  <c r="C1889" i="19"/>
  <c r="B1889" i="19"/>
  <c r="C1888" i="19"/>
  <c r="B1888" i="19"/>
  <c r="C1887" i="19"/>
  <c r="B1887" i="19"/>
  <c r="C1886" i="19"/>
  <c r="B1886" i="19"/>
  <c r="C1885" i="19"/>
  <c r="B1885" i="19"/>
  <c r="C1884" i="19"/>
  <c r="B1884" i="19"/>
  <c r="C1883" i="19"/>
  <c r="B1883" i="19"/>
  <c r="C1882" i="19"/>
  <c r="B1882" i="19"/>
  <c r="C1881" i="19"/>
  <c r="B1881" i="19"/>
  <c r="C1880" i="19"/>
  <c r="B1880" i="19"/>
  <c r="C1879" i="19"/>
  <c r="B1879" i="19"/>
  <c r="C1878" i="19"/>
  <c r="B1878" i="19"/>
  <c r="C1877" i="19"/>
  <c r="B1877" i="19"/>
  <c r="C1876" i="19"/>
  <c r="B1876" i="19"/>
  <c r="C1875" i="19"/>
  <c r="B1875" i="19"/>
  <c r="C1874" i="19"/>
  <c r="B1874" i="19"/>
  <c r="C1873" i="19"/>
  <c r="B1873" i="19"/>
  <c r="C1872" i="19"/>
  <c r="B1872" i="19"/>
  <c r="C1871" i="19"/>
  <c r="B1871" i="19"/>
  <c r="C1870" i="19"/>
  <c r="B1870" i="19"/>
  <c r="C1869" i="19"/>
  <c r="B1869" i="19"/>
  <c r="C1868" i="19"/>
  <c r="B1868" i="19"/>
  <c r="C1867" i="19"/>
  <c r="B1867" i="19"/>
  <c r="C1866" i="19"/>
  <c r="B1866" i="19"/>
  <c r="C1865" i="19"/>
  <c r="B1865" i="19"/>
  <c r="C1864" i="19"/>
  <c r="B1864" i="19"/>
  <c r="C1863" i="19"/>
  <c r="B1863" i="19"/>
  <c r="C1862" i="19"/>
  <c r="B1862" i="19"/>
  <c r="C1861" i="19"/>
  <c r="B1861" i="19"/>
  <c r="C1860" i="19"/>
  <c r="B1860" i="19"/>
  <c r="C1859" i="19"/>
  <c r="B1859" i="19"/>
  <c r="C1858" i="19"/>
  <c r="B1858" i="19"/>
  <c r="C1857" i="19"/>
  <c r="B1857" i="19"/>
  <c r="C1856" i="19"/>
  <c r="B1856" i="19"/>
  <c r="C1855" i="19"/>
  <c r="B1855" i="19"/>
  <c r="C1854" i="19"/>
  <c r="B1854" i="19"/>
  <c r="C1853" i="19"/>
  <c r="B1853" i="19"/>
  <c r="C1852" i="19"/>
  <c r="B1852" i="19"/>
  <c r="C1851" i="19"/>
  <c r="B1851" i="19"/>
  <c r="C1850" i="19"/>
  <c r="B1850" i="19"/>
  <c r="C1849" i="19"/>
  <c r="B1849" i="19"/>
  <c r="C1848" i="19"/>
  <c r="B1848" i="19"/>
  <c r="C1847" i="19"/>
  <c r="B1847" i="19"/>
  <c r="C1846" i="19"/>
  <c r="B1846" i="19"/>
  <c r="C1845" i="19"/>
  <c r="B1845" i="19"/>
  <c r="C1844" i="19"/>
  <c r="B1844" i="19"/>
  <c r="C1843" i="19"/>
  <c r="B1843" i="19"/>
  <c r="C1842" i="19"/>
  <c r="B1842" i="19"/>
  <c r="C1841" i="19"/>
  <c r="B1841" i="19"/>
  <c r="C1840" i="19"/>
  <c r="B1840" i="19"/>
  <c r="C1839" i="19"/>
  <c r="B1839" i="19"/>
  <c r="C1838" i="19"/>
  <c r="B1838" i="19"/>
  <c r="C1837" i="19"/>
  <c r="B1837" i="19"/>
  <c r="C1836" i="19"/>
  <c r="B1836" i="19"/>
  <c r="C1835" i="19"/>
  <c r="B1835" i="19"/>
  <c r="C1834" i="19"/>
  <c r="B1834" i="19"/>
  <c r="C1833" i="19"/>
  <c r="B1833" i="19"/>
  <c r="C1832" i="19"/>
  <c r="B1832" i="19"/>
  <c r="C1831" i="19"/>
  <c r="B1831" i="19"/>
  <c r="C1830" i="19"/>
  <c r="B1830" i="19"/>
  <c r="C1829" i="19"/>
  <c r="B1829" i="19"/>
  <c r="C1828" i="19"/>
  <c r="B1828" i="19"/>
  <c r="C1827" i="19"/>
  <c r="B1827" i="19"/>
  <c r="C1826" i="19"/>
  <c r="B1826" i="19"/>
  <c r="C1825" i="19"/>
  <c r="B1825" i="19"/>
  <c r="C1824" i="19"/>
  <c r="B1824" i="19"/>
  <c r="C1823" i="19"/>
  <c r="B1823" i="19"/>
  <c r="C1822" i="19"/>
  <c r="B1822" i="19"/>
  <c r="C1821" i="19"/>
  <c r="B1821" i="19"/>
  <c r="C1820" i="19"/>
  <c r="B1820" i="19"/>
  <c r="C1819" i="19"/>
  <c r="B1819" i="19"/>
  <c r="C1818" i="19"/>
  <c r="B1818" i="19"/>
  <c r="C1817" i="19"/>
  <c r="B1817" i="19"/>
  <c r="C1816" i="19"/>
  <c r="B1816" i="19"/>
  <c r="C1815" i="19"/>
  <c r="B1815" i="19"/>
  <c r="C1814" i="19"/>
  <c r="B1814" i="19"/>
  <c r="C1813" i="19"/>
  <c r="B1813" i="19"/>
  <c r="C1812" i="19"/>
  <c r="B1812" i="19"/>
  <c r="C1811" i="19"/>
  <c r="B1811" i="19"/>
  <c r="C1810" i="19"/>
  <c r="B1810" i="19"/>
  <c r="C1809" i="19"/>
  <c r="B1809" i="19"/>
  <c r="C1808" i="19"/>
  <c r="B1808" i="19"/>
  <c r="C1807" i="19"/>
  <c r="B1807" i="19"/>
  <c r="C1806" i="19"/>
  <c r="B1806" i="19"/>
  <c r="C1805" i="19"/>
  <c r="B1805" i="19"/>
  <c r="C1804" i="19"/>
  <c r="B1804" i="19"/>
  <c r="C1803" i="19"/>
  <c r="B1803" i="19"/>
  <c r="C1802" i="19"/>
  <c r="B1802" i="19"/>
  <c r="C1801" i="19"/>
  <c r="B1801" i="19"/>
  <c r="C1800" i="19"/>
  <c r="B1800" i="19"/>
  <c r="C1799" i="19"/>
  <c r="B1799" i="19"/>
  <c r="C1798" i="19"/>
  <c r="B1798" i="19"/>
  <c r="C1797" i="19"/>
  <c r="B1797" i="19"/>
  <c r="C1796" i="19"/>
  <c r="B1796" i="19"/>
  <c r="C1795" i="19"/>
  <c r="B1795" i="19"/>
  <c r="C1794" i="19"/>
  <c r="B1794" i="19"/>
  <c r="C1793" i="19"/>
  <c r="B1793" i="19"/>
  <c r="C1792" i="19"/>
  <c r="B1792" i="19"/>
  <c r="C1791" i="19"/>
  <c r="B1791" i="19"/>
  <c r="C1790" i="19"/>
  <c r="B1790" i="19"/>
  <c r="C1789" i="19"/>
  <c r="B1789" i="19"/>
  <c r="C1788" i="19"/>
  <c r="B1788" i="19"/>
  <c r="C1787" i="19"/>
  <c r="B1787" i="19"/>
  <c r="C1786" i="19"/>
  <c r="B1786" i="19"/>
  <c r="C1785" i="19"/>
  <c r="B1785" i="19"/>
  <c r="C1784" i="19"/>
  <c r="B1784" i="19"/>
  <c r="C1783" i="19"/>
  <c r="B1783" i="19"/>
  <c r="C1782" i="19"/>
  <c r="B1782" i="19"/>
  <c r="C1781" i="19"/>
  <c r="B1781" i="19"/>
  <c r="C1780" i="19"/>
  <c r="B1780" i="19"/>
  <c r="C1779" i="19"/>
  <c r="B1779" i="19"/>
  <c r="C1778" i="19"/>
  <c r="B1778" i="19"/>
  <c r="C1777" i="19"/>
  <c r="B1777" i="19"/>
  <c r="C1776" i="19"/>
  <c r="B1776" i="19"/>
  <c r="C1775" i="19"/>
  <c r="B1775" i="19"/>
  <c r="C1774" i="19"/>
  <c r="B1774" i="19"/>
  <c r="C1773" i="19"/>
  <c r="B1773" i="19"/>
  <c r="C1772" i="19"/>
  <c r="B1772" i="19"/>
  <c r="C1771" i="19"/>
  <c r="B1771" i="19"/>
  <c r="C1770" i="19"/>
  <c r="B1770" i="19"/>
  <c r="C1769" i="19"/>
  <c r="B1769" i="19"/>
  <c r="C1768" i="19"/>
  <c r="B1768" i="19"/>
  <c r="C1767" i="19"/>
  <c r="B1767" i="19"/>
  <c r="C1766" i="19"/>
  <c r="B1766" i="19"/>
  <c r="C1765" i="19"/>
  <c r="B1765" i="19"/>
  <c r="C1764" i="19"/>
  <c r="B1764" i="19"/>
  <c r="C1763" i="19"/>
  <c r="B1763" i="19"/>
  <c r="C1762" i="19"/>
  <c r="B1762" i="19"/>
  <c r="C1761" i="19"/>
  <c r="B1761" i="19"/>
  <c r="C1760" i="19"/>
  <c r="B1760" i="19"/>
  <c r="C1759" i="19"/>
  <c r="B1759" i="19"/>
  <c r="C1758" i="19"/>
  <c r="B1758" i="19"/>
  <c r="C1757" i="19"/>
  <c r="B1757" i="19"/>
  <c r="C1756" i="19"/>
  <c r="B1756" i="19"/>
  <c r="C1755" i="19"/>
  <c r="B1755" i="19"/>
  <c r="C1754" i="19"/>
  <c r="B1754" i="19"/>
  <c r="C1753" i="19"/>
  <c r="B1753" i="19"/>
  <c r="C1752" i="19"/>
  <c r="B1752" i="19"/>
  <c r="C1751" i="19"/>
  <c r="B1751" i="19"/>
  <c r="C1750" i="19"/>
  <c r="B1750" i="19"/>
  <c r="C1749" i="19"/>
  <c r="B1749" i="19"/>
  <c r="C1748" i="19"/>
  <c r="B1748" i="19"/>
  <c r="C1747" i="19"/>
  <c r="B1747" i="19"/>
  <c r="C1746" i="19"/>
  <c r="B1746" i="19"/>
  <c r="C1745" i="19"/>
  <c r="B1745" i="19"/>
  <c r="C1744" i="19"/>
  <c r="B1744" i="19"/>
  <c r="C1743" i="19"/>
  <c r="B1743" i="19"/>
  <c r="C1742" i="19"/>
  <c r="B1742" i="19"/>
  <c r="C1741" i="19"/>
  <c r="B1741" i="19"/>
  <c r="C1740" i="19"/>
  <c r="B1740" i="19"/>
  <c r="C1739" i="19"/>
  <c r="B1739" i="19"/>
  <c r="C1738" i="19"/>
  <c r="B1738" i="19"/>
  <c r="C1737" i="19"/>
  <c r="B1737" i="19"/>
  <c r="C1736" i="19"/>
  <c r="B1736" i="19"/>
  <c r="C1735" i="19"/>
  <c r="B1735" i="19"/>
  <c r="C1734" i="19"/>
  <c r="B1734" i="19"/>
  <c r="C1733" i="19"/>
  <c r="B1733" i="19"/>
  <c r="C1732" i="19"/>
  <c r="B1732" i="19"/>
  <c r="C1731" i="19"/>
  <c r="B1731" i="19"/>
  <c r="C1730" i="19"/>
  <c r="B1730" i="19"/>
  <c r="C1729" i="19"/>
  <c r="B1729" i="19"/>
  <c r="C1728" i="19"/>
  <c r="B1728" i="19"/>
  <c r="C1727" i="19"/>
  <c r="B1727" i="19"/>
  <c r="C1726" i="19"/>
  <c r="B1726" i="19"/>
  <c r="C1725" i="19"/>
  <c r="B1725" i="19"/>
  <c r="C1724" i="19"/>
  <c r="B1724" i="19"/>
  <c r="C1723" i="19"/>
  <c r="B1723" i="19"/>
  <c r="C1722" i="19"/>
  <c r="B1722" i="19"/>
  <c r="C1721" i="19"/>
  <c r="B1721" i="19"/>
  <c r="C1720" i="19"/>
  <c r="B1720" i="19"/>
  <c r="C1719" i="19"/>
  <c r="B1719" i="19"/>
  <c r="C1718" i="19"/>
  <c r="B1718" i="19"/>
  <c r="C1717" i="19"/>
  <c r="B1717" i="19"/>
  <c r="C1716" i="19"/>
  <c r="B1716" i="19"/>
  <c r="C1715" i="19"/>
  <c r="B1715" i="19"/>
  <c r="C1714" i="19"/>
  <c r="B1714" i="19"/>
  <c r="C1713" i="19"/>
  <c r="B1713" i="19"/>
  <c r="C1712" i="19"/>
  <c r="B1712" i="19"/>
  <c r="C1711" i="19"/>
  <c r="B1711" i="19"/>
  <c r="C1710" i="19"/>
  <c r="B1710" i="19"/>
  <c r="C1709" i="19"/>
  <c r="B1709" i="19"/>
  <c r="C1708" i="19"/>
  <c r="B1708" i="19"/>
  <c r="C1707" i="19"/>
  <c r="B1707" i="19"/>
  <c r="C1706" i="19"/>
  <c r="B1706" i="19"/>
  <c r="C1705" i="19"/>
  <c r="B1705" i="19"/>
  <c r="C1704" i="19"/>
  <c r="B1704" i="19"/>
  <c r="C1703" i="19"/>
  <c r="B1703" i="19"/>
  <c r="C1702" i="19"/>
  <c r="B1702" i="19"/>
  <c r="C1701" i="19"/>
  <c r="B1701" i="19"/>
  <c r="C1700" i="19"/>
  <c r="B1700" i="19"/>
  <c r="C1699" i="19"/>
  <c r="B1699" i="19"/>
  <c r="C1698" i="19"/>
  <c r="B1698" i="19"/>
  <c r="C1697" i="19"/>
  <c r="B1697" i="19"/>
  <c r="C1696" i="19"/>
  <c r="B1696" i="19"/>
  <c r="C1695" i="19"/>
  <c r="B1695" i="19"/>
  <c r="C1694" i="19"/>
  <c r="B1694" i="19"/>
  <c r="C1693" i="19"/>
  <c r="B1693" i="19"/>
  <c r="C1692" i="19"/>
  <c r="B1692" i="19"/>
  <c r="C1691" i="19"/>
  <c r="B1691" i="19"/>
  <c r="C1690" i="19"/>
  <c r="B1690" i="19"/>
  <c r="C1689" i="19"/>
  <c r="B1689" i="19"/>
  <c r="C1688" i="19"/>
  <c r="B1688" i="19"/>
  <c r="C1687" i="19"/>
  <c r="B1687" i="19"/>
  <c r="C1686" i="19"/>
  <c r="B1686" i="19"/>
  <c r="C1685" i="19"/>
  <c r="B1685" i="19"/>
  <c r="C1684" i="19"/>
  <c r="B1684" i="19"/>
  <c r="C1683" i="19"/>
  <c r="B1683" i="19"/>
  <c r="C1682" i="19"/>
  <c r="B1682" i="19"/>
  <c r="C1681" i="19"/>
  <c r="B1681" i="19"/>
  <c r="C1680" i="19"/>
  <c r="B1680" i="19"/>
  <c r="C1679" i="19"/>
  <c r="B1679" i="19"/>
  <c r="C1678" i="19"/>
  <c r="B1678" i="19"/>
  <c r="C1677" i="19"/>
  <c r="B1677" i="19"/>
  <c r="C1676" i="19"/>
  <c r="B1676" i="19"/>
  <c r="C1675" i="19"/>
  <c r="B1675" i="19"/>
  <c r="C1674" i="19"/>
  <c r="B1674" i="19"/>
  <c r="C1673" i="19"/>
  <c r="B1673" i="19"/>
  <c r="C1672" i="19"/>
  <c r="B1672" i="19"/>
  <c r="C1671" i="19"/>
  <c r="B1671" i="19"/>
  <c r="C1670" i="19"/>
  <c r="B1670" i="19"/>
  <c r="C1669" i="19"/>
  <c r="B1669" i="19"/>
  <c r="C1668" i="19"/>
  <c r="B1668" i="19"/>
  <c r="C1667" i="19"/>
  <c r="B1667" i="19"/>
  <c r="C1666" i="19"/>
  <c r="B1666" i="19"/>
  <c r="C1665" i="19"/>
  <c r="B1665" i="19"/>
  <c r="C1664" i="19"/>
  <c r="B1664" i="19"/>
  <c r="C1663" i="19"/>
  <c r="B1663" i="19"/>
  <c r="C1662" i="19"/>
  <c r="B1662" i="19"/>
  <c r="C1661" i="19"/>
  <c r="B1661" i="19"/>
  <c r="C1660" i="19"/>
  <c r="B1660" i="19"/>
  <c r="C1659" i="19"/>
  <c r="B1659" i="19"/>
  <c r="C1658" i="19"/>
  <c r="B1658" i="19"/>
  <c r="C1657" i="19"/>
  <c r="B1657" i="19"/>
  <c r="C1656" i="19"/>
  <c r="B1656" i="19"/>
  <c r="C1655" i="19"/>
  <c r="B1655" i="19"/>
  <c r="C1654" i="19"/>
  <c r="B1654" i="19"/>
  <c r="C1653" i="19"/>
  <c r="B1653" i="19"/>
  <c r="C1652" i="19"/>
  <c r="B1652" i="19"/>
  <c r="C1651" i="19"/>
  <c r="B1651" i="19"/>
  <c r="C1650" i="19"/>
  <c r="B1650" i="19"/>
  <c r="C1649" i="19"/>
  <c r="B1649" i="19"/>
  <c r="C1648" i="19"/>
  <c r="B1648" i="19"/>
  <c r="C1647" i="19"/>
  <c r="B1647" i="19"/>
  <c r="C1646" i="19"/>
  <c r="B1646" i="19"/>
  <c r="C1645" i="19"/>
  <c r="B1645" i="19"/>
  <c r="C1644" i="19"/>
  <c r="B1644" i="19"/>
  <c r="C1643" i="19"/>
  <c r="B1643" i="19"/>
  <c r="C1642" i="19"/>
  <c r="B1642" i="19"/>
  <c r="C1641" i="19"/>
  <c r="B1641" i="19"/>
  <c r="C1640" i="19"/>
  <c r="B1640" i="19"/>
  <c r="C1639" i="19"/>
  <c r="B1639" i="19"/>
  <c r="C1638" i="19"/>
  <c r="B1638" i="19"/>
  <c r="C1637" i="19"/>
  <c r="B1637" i="19"/>
  <c r="C1636" i="19"/>
  <c r="B1636" i="19"/>
  <c r="C1635" i="19"/>
  <c r="B1635" i="19"/>
  <c r="C1634" i="19"/>
  <c r="B1634" i="19"/>
  <c r="C1633" i="19"/>
  <c r="B1633" i="19"/>
  <c r="C1632" i="19"/>
  <c r="B1632" i="19"/>
  <c r="C1631" i="19"/>
  <c r="B1631" i="19"/>
  <c r="C1630" i="19"/>
  <c r="B1630" i="19"/>
  <c r="C1629" i="19"/>
  <c r="B1629" i="19"/>
  <c r="C1628" i="19"/>
  <c r="B1628" i="19"/>
  <c r="C1627" i="19"/>
  <c r="B1627" i="19"/>
  <c r="C1626" i="19"/>
  <c r="B1626" i="19"/>
  <c r="C1625" i="19"/>
  <c r="B1625" i="19"/>
  <c r="C1624" i="19"/>
  <c r="B1624" i="19"/>
  <c r="C1623" i="19"/>
  <c r="B1623" i="19"/>
  <c r="C1622" i="19"/>
  <c r="B1622" i="19"/>
  <c r="C1621" i="19"/>
  <c r="B1621" i="19"/>
  <c r="C1620" i="19"/>
  <c r="B1620" i="19"/>
  <c r="C1619" i="19"/>
  <c r="B1619" i="19"/>
  <c r="C1618" i="19"/>
  <c r="B1618" i="19"/>
  <c r="C1617" i="19"/>
  <c r="B1617" i="19"/>
  <c r="C1616" i="19"/>
  <c r="B1616" i="19"/>
  <c r="C1615" i="19"/>
  <c r="B1615" i="19"/>
  <c r="C1614" i="19"/>
  <c r="B1614" i="19"/>
  <c r="C1613" i="19"/>
  <c r="B1613" i="19"/>
  <c r="C1612" i="19"/>
  <c r="B1612" i="19"/>
  <c r="C1611" i="19"/>
  <c r="B1611" i="19"/>
  <c r="C1610" i="19"/>
  <c r="B1610" i="19"/>
  <c r="C1609" i="19"/>
  <c r="B1609" i="19"/>
  <c r="C1608" i="19"/>
  <c r="B1608" i="19"/>
  <c r="C1607" i="19"/>
  <c r="B1607" i="19"/>
  <c r="C1606" i="19"/>
  <c r="B1606" i="19"/>
  <c r="C1605" i="19"/>
  <c r="B1605" i="19"/>
  <c r="C1604" i="19"/>
  <c r="B1604" i="19"/>
  <c r="C1603" i="19"/>
  <c r="B1603" i="19"/>
  <c r="C1602" i="19"/>
  <c r="B1602" i="19"/>
  <c r="C1601" i="19"/>
  <c r="B1601" i="19"/>
  <c r="C1600" i="19"/>
  <c r="B1600" i="19"/>
  <c r="C1599" i="19"/>
  <c r="B1599" i="19"/>
  <c r="C1598" i="19"/>
  <c r="B1598" i="19"/>
  <c r="C1597" i="19"/>
  <c r="B1597" i="19"/>
  <c r="C1596" i="19"/>
  <c r="B1596" i="19"/>
  <c r="C1595" i="19"/>
  <c r="B1595" i="19"/>
  <c r="C1594" i="19"/>
  <c r="B1594" i="19"/>
  <c r="C1593" i="19"/>
  <c r="B1593" i="19"/>
  <c r="C1592" i="19"/>
  <c r="B1592" i="19"/>
  <c r="C1591" i="19"/>
  <c r="B1591" i="19"/>
  <c r="C1590" i="19"/>
  <c r="B1590" i="19"/>
  <c r="C1589" i="19"/>
  <c r="B1589" i="19"/>
  <c r="C1588" i="19"/>
  <c r="B1588" i="19"/>
  <c r="C1587" i="19"/>
  <c r="B1587" i="19"/>
  <c r="C1586" i="19"/>
  <c r="B1586" i="19"/>
  <c r="C1585" i="19"/>
  <c r="B1585" i="19"/>
  <c r="C1584" i="19"/>
  <c r="B1584" i="19"/>
  <c r="C1583" i="19"/>
  <c r="B1583" i="19"/>
  <c r="C1582" i="19"/>
  <c r="B1582" i="19"/>
  <c r="C1581" i="19"/>
  <c r="B1581" i="19"/>
  <c r="C1580" i="19"/>
  <c r="B1580" i="19"/>
  <c r="C1579" i="19"/>
  <c r="B1579" i="19"/>
  <c r="C1578" i="19"/>
  <c r="B1578" i="19"/>
  <c r="C1577" i="19"/>
  <c r="B1577" i="19"/>
  <c r="C1576" i="19"/>
  <c r="B1576" i="19"/>
  <c r="C1575" i="19"/>
  <c r="B1575" i="19"/>
  <c r="C1574" i="19"/>
  <c r="B1574" i="19"/>
  <c r="C1573" i="19"/>
  <c r="B1573" i="19"/>
  <c r="C1572" i="19"/>
  <c r="B1572" i="19"/>
  <c r="C1571" i="19"/>
  <c r="B1571" i="19"/>
  <c r="C1570" i="19"/>
  <c r="B1570" i="19"/>
  <c r="C1569" i="19"/>
  <c r="B1569" i="19"/>
  <c r="C1568" i="19"/>
  <c r="B1568" i="19"/>
  <c r="C1567" i="19"/>
  <c r="B1567" i="19"/>
  <c r="C1566" i="19"/>
  <c r="B1566" i="19"/>
  <c r="C1565" i="19"/>
  <c r="B1565" i="19"/>
  <c r="C1564" i="19"/>
  <c r="B1564" i="19"/>
  <c r="C1563" i="19"/>
  <c r="B1563" i="19"/>
  <c r="C1562" i="19"/>
  <c r="B1562" i="19"/>
  <c r="C1561" i="19"/>
  <c r="B1561" i="19"/>
  <c r="C1560" i="19"/>
  <c r="B1560" i="19"/>
  <c r="C1559" i="19"/>
  <c r="B1559" i="19"/>
  <c r="C1558" i="19"/>
  <c r="B1558" i="19"/>
  <c r="C1557" i="19"/>
  <c r="B1557" i="19"/>
  <c r="C1556" i="19"/>
  <c r="B1556" i="19"/>
  <c r="C1555" i="19"/>
  <c r="B1555" i="19"/>
  <c r="C1554" i="19"/>
  <c r="B1554" i="19"/>
  <c r="C1553" i="19"/>
  <c r="B1553" i="19"/>
  <c r="C1552" i="19"/>
  <c r="B1552" i="19"/>
  <c r="C1551" i="19"/>
  <c r="B1551" i="19"/>
  <c r="C1550" i="19"/>
  <c r="B1550" i="19"/>
  <c r="C1549" i="19"/>
  <c r="B1549" i="19"/>
  <c r="C1548" i="19"/>
  <c r="B1548" i="19"/>
  <c r="C1547" i="19"/>
  <c r="B1547" i="19"/>
  <c r="C1546" i="19"/>
  <c r="B1546" i="19"/>
  <c r="C1545" i="19"/>
  <c r="B1545" i="19"/>
  <c r="C1544" i="19"/>
  <c r="B1544" i="19"/>
  <c r="C1543" i="19"/>
  <c r="B1543" i="19"/>
  <c r="C1542" i="19"/>
  <c r="B1542" i="19"/>
  <c r="C1541" i="19"/>
  <c r="B1541" i="19"/>
  <c r="C1540" i="19"/>
  <c r="B1540" i="19"/>
  <c r="C1539" i="19"/>
  <c r="B1539" i="19"/>
  <c r="C1538" i="19"/>
  <c r="B1538" i="19"/>
  <c r="C1537" i="19"/>
  <c r="B1537" i="19"/>
  <c r="C1536" i="19"/>
  <c r="B1536" i="19"/>
  <c r="C1535" i="19"/>
  <c r="B1535" i="19"/>
  <c r="C1534" i="19"/>
  <c r="B1534" i="19"/>
  <c r="C1533" i="19"/>
  <c r="B1533" i="19"/>
  <c r="C1532" i="19"/>
  <c r="B1532" i="19"/>
  <c r="C1531" i="19"/>
  <c r="B1531" i="19"/>
  <c r="C1530" i="19"/>
  <c r="B1530" i="19"/>
  <c r="C1529" i="19"/>
  <c r="B1529" i="19"/>
  <c r="C1528" i="19"/>
  <c r="B1528" i="19"/>
  <c r="C1527" i="19"/>
  <c r="B1527" i="19"/>
  <c r="C1526" i="19"/>
  <c r="B1526" i="19"/>
  <c r="C1525" i="19"/>
  <c r="B1525" i="19"/>
  <c r="C1524" i="19"/>
  <c r="B1524" i="19"/>
  <c r="C1523" i="19"/>
  <c r="B1523" i="19"/>
  <c r="C1522" i="19"/>
  <c r="B1522" i="19"/>
  <c r="C1521" i="19"/>
  <c r="B1521" i="19"/>
  <c r="C1520" i="19"/>
  <c r="B1520" i="19"/>
  <c r="C1519" i="19"/>
  <c r="B1519" i="19"/>
  <c r="C1518" i="19"/>
  <c r="B1518" i="19"/>
  <c r="C1517" i="19"/>
  <c r="B1517" i="19"/>
  <c r="C1516" i="19"/>
  <c r="B1516" i="19"/>
  <c r="C1515" i="19"/>
  <c r="B1515" i="19"/>
  <c r="C1514" i="19"/>
  <c r="B1514" i="19"/>
  <c r="C1513" i="19"/>
  <c r="B1513" i="19"/>
  <c r="C1512" i="19"/>
  <c r="B1512" i="19"/>
  <c r="C1511" i="19"/>
  <c r="B1511" i="19"/>
  <c r="C1510" i="19"/>
  <c r="B1510" i="19"/>
  <c r="C1509" i="19"/>
  <c r="B1509" i="19"/>
  <c r="C1508" i="19"/>
  <c r="B1508" i="19"/>
  <c r="C1507" i="19"/>
  <c r="B1507" i="19"/>
  <c r="C1506" i="19"/>
  <c r="B1506" i="19"/>
  <c r="C1505" i="19"/>
  <c r="B1505" i="19"/>
  <c r="C1504" i="19"/>
  <c r="B1504" i="19"/>
  <c r="C1503" i="19"/>
  <c r="B1503" i="19"/>
  <c r="C1502" i="19"/>
  <c r="B1502" i="19"/>
  <c r="C1501" i="19"/>
  <c r="B1501" i="19"/>
  <c r="C1500" i="19"/>
  <c r="B1500" i="19"/>
  <c r="C1499" i="19"/>
  <c r="B1499" i="19"/>
  <c r="C1498" i="19"/>
  <c r="B1498" i="19"/>
  <c r="C1497" i="19"/>
  <c r="B1497" i="19"/>
  <c r="C1496" i="19"/>
  <c r="B1496" i="19"/>
  <c r="C1495" i="19"/>
  <c r="B1495" i="19"/>
  <c r="C1494" i="19"/>
  <c r="B1494" i="19"/>
  <c r="C1493" i="19"/>
  <c r="B1493" i="19"/>
  <c r="C1492" i="19"/>
  <c r="B1492" i="19"/>
  <c r="C1491" i="19"/>
  <c r="B1491" i="19"/>
  <c r="C1490" i="19"/>
  <c r="B1490" i="19"/>
  <c r="C1489" i="19"/>
  <c r="B1489" i="19"/>
  <c r="C1488" i="19"/>
  <c r="B1488" i="19"/>
  <c r="C1487" i="19"/>
  <c r="B1487" i="19"/>
  <c r="C1486" i="19"/>
  <c r="B1486" i="19"/>
  <c r="C1485" i="19"/>
  <c r="B1485" i="19"/>
  <c r="C1484" i="19"/>
  <c r="B1484" i="19"/>
  <c r="C1483" i="19"/>
  <c r="B1483" i="19"/>
  <c r="C1482" i="19"/>
  <c r="B1482" i="19"/>
  <c r="C1481" i="19"/>
  <c r="B1481" i="19"/>
  <c r="C1480" i="19"/>
  <c r="B1480" i="19"/>
  <c r="C1479" i="19"/>
  <c r="B1479" i="19"/>
  <c r="C1478" i="19"/>
  <c r="B1478" i="19"/>
  <c r="C1477" i="19"/>
  <c r="B1477" i="19"/>
  <c r="C1476" i="19"/>
  <c r="B1476" i="19"/>
  <c r="C1475" i="19"/>
  <c r="B1475" i="19"/>
  <c r="C1474" i="19"/>
  <c r="B1474" i="19"/>
  <c r="C1473" i="19"/>
  <c r="B1473" i="19"/>
  <c r="C1472" i="19"/>
  <c r="B1472" i="19"/>
  <c r="C1471" i="19"/>
  <c r="B1471" i="19"/>
  <c r="C1470" i="19"/>
  <c r="B1470" i="19"/>
  <c r="C1469" i="19"/>
  <c r="B1469" i="19"/>
  <c r="C1468" i="19"/>
  <c r="B1468" i="19"/>
  <c r="C1467" i="19"/>
  <c r="B1467" i="19"/>
  <c r="C1466" i="19"/>
  <c r="B1466" i="19"/>
  <c r="C1465" i="19"/>
  <c r="B1465" i="19"/>
  <c r="C1464" i="19"/>
  <c r="B1464" i="19"/>
  <c r="C1463" i="19"/>
  <c r="B1463" i="19"/>
  <c r="C1462" i="19"/>
  <c r="B1462" i="19"/>
  <c r="C1461" i="19"/>
  <c r="B1461" i="19"/>
  <c r="C1460" i="19"/>
  <c r="B1460" i="19"/>
  <c r="C1459" i="19"/>
  <c r="B1459" i="19"/>
  <c r="C1458" i="19"/>
  <c r="B1458" i="19"/>
  <c r="C1457" i="19"/>
  <c r="B1457" i="19"/>
  <c r="C1456" i="19"/>
  <c r="B1456" i="19"/>
  <c r="C1455" i="19"/>
  <c r="B1455" i="19"/>
  <c r="C1454" i="19"/>
  <c r="B1454" i="19"/>
  <c r="C1453" i="19"/>
  <c r="B1453" i="19"/>
  <c r="C1452" i="19"/>
  <c r="B1452" i="19"/>
  <c r="C1451" i="19"/>
  <c r="B1451" i="19"/>
  <c r="C1450" i="19"/>
  <c r="B1450" i="19"/>
  <c r="C1449" i="19"/>
  <c r="B1449" i="19"/>
  <c r="C1448" i="19"/>
  <c r="B1448" i="19"/>
  <c r="C1447" i="19"/>
  <c r="B1447" i="19"/>
  <c r="C1446" i="19"/>
  <c r="B1446" i="19"/>
  <c r="C1445" i="19"/>
  <c r="B1445" i="19"/>
  <c r="C1444" i="19"/>
  <c r="B1444" i="19"/>
  <c r="C1443" i="19"/>
  <c r="B1443" i="19"/>
  <c r="C1442" i="19"/>
  <c r="B1442" i="19"/>
  <c r="C1441" i="19"/>
  <c r="B1441" i="19"/>
  <c r="C1440" i="19"/>
  <c r="B1440" i="19"/>
  <c r="C1439" i="19"/>
  <c r="B1439" i="19"/>
  <c r="C1438" i="19"/>
  <c r="B1438" i="19"/>
  <c r="C1437" i="19"/>
  <c r="B1437" i="19"/>
  <c r="C1436" i="19"/>
  <c r="B1436" i="19"/>
  <c r="C1435" i="19"/>
  <c r="B1435" i="19"/>
  <c r="C1434" i="19"/>
  <c r="B1434" i="19"/>
  <c r="C1433" i="19"/>
  <c r="B1433" i="19"/>
  <c r="C1432" i="19"/>
  <c r="B1432" i="19"/>
  <c r="C1431" i="19"/>
  <c r="B1431" i="19"/>
  <c r="C1430" i="19"/>
  <c r="B1430" i="19"/>
  <c r="C1429" i="19"/>
  <c r="B1429" i="19"/>
  <c r="C1428" i="19"/>
  <c r="B1428" i="19"/>
  <c r="C1427" i="19"/>
  <c r="B1427" i="19"/>
  <c r="C1426" i="19"/>
  <c r="B1426" i="19"/>
  <c r="C1425" i="19"/>
  <c r="B1425" i="19"/>
  <c r="C1424" i="19"/>
  <c r="B1424" i="19"/>
  <c r="C1423" i="19"/>
  <c r="B1423" i="19"/>
  <c r="C1422" i="19"/>
  <c r="B1422" i="19"/>
  <c r="C1421" i="19"/>
  <c r="B1421" i="19"/>
  <c r="C1420" i="19"/>
  <c r="B1420" i="19"/>
  <c r="C1419" i="19"/>
  <c r="B1419" i="19"/>
  <c r="C1418" i="19"/>
  <c r="B1418" i="19"/>
  <c r="C1417" i="19"/>
  <c r="B1417" i="19"/>
  <c r="C1416" i="19"/>
  <c r="B1416" i="19"/>
  <c r="C1415" i="19"/>
  <c r="B1415" i="19"/>
  <c r="C1414" i="19"/>
  <c r="B1414" i="19"/>
  <c r="C1413" i="19"/>
  <c r="B1413" i="19"/>
  <c r="C1412" i="19"/>
  <c r="B1412" i="19"/>
  <c r="C1411" i="19"/>
  <c r="B1411" i="19"/>
  <c r="C1410" i="19"/>
  <c r="B1410" i="19"/>
  <c r="C1409" i="19"/>
  <c r="B1409" i="19"/>
  <c r="C1408" i="19"/>
  <c r="B1408" i="19"/>
  <c r="C1407" i="19"/>
  <c r="B1407" i="19"/>
  <c r="C1406" i="19"/>
  <c r="B1406" i="19"/>
  <c r="C1405" i="19"/>
  <c r="B1405" i="19"/>
  <c r="C1404" i="19"/>
  <c r="B1404" i="19"/>
  <c r="C1403" i="19"/>
  <c r="B1403" i="19"/>
  <c r="C1402" i="19"/>
  <c r="B1402" i="19"/>
  <c r="C1401" i="19"/>
  <c r="B1401" i="19"/>
  <c r="C1400" i="19"/>
  <c r="B1400" i="19"/>
  <c r="C1399" i="19"/>
  <c r="B1399" i="19"/>
  <c r="C1398" i="19"/>
  <c r="B1398" i="19"/>
  <c r="C1397" i="19"/>
  <c r="B1397" i="19"/>
  <c r="C1396" i="19"/>
  <c r="B1396" i="19"/>
  <c r="C1395" i="19"/>
  <c r="B1395" i="19"/>
  <c r="C1394" i="19"/>
  <c r="B1394" i="19"/>
  <c r="C1393" i="19"/>
  <c r="B1393" i="19"/>
  <c r="C1392" i="19"/>
  <c r="B1392" i="19"/>
  <c r="C1391" i="19"/>
  <c r="B1391" i="19"/>
  <c r="C1390" i="19"/>
  <c r="B1390" i="19"/>
  <c r="C1389" i="19"/>
  <c r="B1389" i="19"/>
  <c r="C1388" i="19"/>
  <c r="B1388" i="19"/>
  <c r="C1387" i="19"/>
  <c r="B1387" i="19"/>
  <c r="C1386" i="19"/>
  <c r="B1386" i="19"/>
  <c r="C1385" i="19"/>
  <c r="B1385" i="19"/>
  <c r="C1384" i="19"/>
  <c r="B1384" i="19"/>
  <c r="C1383" i="19"/>
  <c r="B1383" i="19"/>
  <c r="C1382" i="19"/>
  <c r="B1382" i="19"/>
  <c r="C1381" i="19"/>
  <c r="B1381" i="19"/>
  <c r="C1380" i="19"/>
  <c r="B1380" i="19"/>
  <c r="C1379" i="19"/>
  <c r="B1379" i="19"/>
  <c r="C1378" i="19"/>
  <c r="B1378" i="19"/>
  <c r="C1377" i="19"/>
  <c r="B1377" i="19"/>
  <c r="C1376" i="19"/>
  <c r="B1376" i="19"/>
  <c r="C1375" i="19"/>
  <c r="B1375" i="19"/>
  <c r="C1374" i="19"/>
  <c r="B1374" i="19"/>
  <c r="C1373" i="19"/>
  <c r="B1373" i="19"/>
  <c r="C1372" i="19"/>
  <c r="B1372" i="19"/>
  <c r="C1371" i="19"/>
  <c r="B1371" i="19"/>
  <c r="C1370" i="19"/>
  <c r="B1370" i="19"/>
  <c r="C1369" i="19"/>
  <c r="B1369" i="19"/>
  <c r="C1368" i="19"/>
  <c r="B1368" i="19"/>
  <c r="C1367" i="19"/>
  <c r="B1367" i="19"/>
  <c r="C1366" i="19"/>
  <c r="B1366" i="19"/>
  <c r="C1365" i="19"/>
  <c r="B1365" i="19"/>
  <c r="C1364" i="19"/>
  <c r="B1364" i="19"/>
  <c r="C1363" i="19"/>
  <c r="B1363" i="19"/>
  <c r="C1362" i="19"/>
  <c r="B1362" i="19"/>
  <c r="C1361" i="19"/>
  <c r="B1361" i="19"/>
  <c r="C1360" i="19"/>
  <c r="B1360" i="19"/>
  <c r="C1359" i="19"/>
  <c r="B1359" i="19"/>
  <c r="C1358" i="19"/>
  <c r="B1358" i="19"/>
  <c r="C1357" i="19"/>
  <c r="B1357" i="19"/>
  <c r="C1356" i="19"/>
  <c r="B1356" i="19"/>
  <c r="C1355" i="19"/>
  <c r="B1355" i="19"/>
  <c r="C1354" i="19"/>
  <c r="B1354" i="19"/>
  <c r="C1353" i="19"/>
  <c r="B1353" i="19"/>
  <c r="C1352" i="19"/>
  <c r="B1352" i="19"/>
  <c r="C1351" i="19"/>
  <c r="B1351" i="19"/>
  <c r="C1350" i="19"/>
  <c r="B1350" i="19"/>
  <c r="C1349" i="19"/>
  <c r="B1349" i="19"/>
  <c r="C1348" i="19"/>
  <c r="B1348" i="19"/>
  <c r="C1347" i="19"/>
  <c r="B1347" i="19"/>
  <c r="C1346" i="19"/>
  <c r="B1346" i="19"/>
  <c r="C1345" i="19"/>
  <c r="B1345" i="19"/>
  <c r="C1344" i="19"/>
  <c r="B1344" i="19"/>
  <c r="C1343" i="19"/>
  <c r="B1343" i="19"/>
  <c r="C1342" i="19"/>
  <c r="B1342" i="19"/>
  <c r="C1341" i="19"/>
  <c r="B1341" i="19"/>
  <c r="C1340" i="19"/>
  <c r="B1340" i="19"/>
  <c r="C1339" i="19"/>
  <c r="B1339" i="19"/>
  <c r="C1338" i="19"/>
  <c r="B1338" i="19"/>
  <c r="C1337" i="19"/>
  <c r="B1337" i="19"/>
  <c r="C1336" i="19"/>
  <c r="B1336" i="19"/>
  <c r="C1335" i="19"/>
  <c r="B1335" i="19"/>
  <c r="C1334" i="19"/>
  <c r="B1334" i="19"/>
  <c r="C1333" i="19"/>
  <c r="B1333" i="19"/>
  <c r="C1332" i="19"/>
  <c r="B1332" i="19"/>
  <c r="C1331" i="19"/>
  <c r="B1331" i="19"/>
  <c r="C1330" i="19"/>
  <c r="B1330" i="19"/>
  <c r="C1329" i="19"/>
  <c r="B1329" i="19"/>
  <c r="C1328" i="19"/>
  <c r="B1328" i="19"/>
  <c r="C1327" i="19"/>
  <c r="B1327" i="19"/>
  <c r="C1326" i="19"/>
  <c r="B1326" i="19"/>
  <c r="C1325" i="19"/>
  <c r="B1325" i="19"/>
  <c r="C1324" i="19"/>
  <c r="B1324" i="19"/>
  <c r="C1323" i="19"/>
  <c r="B1323" i="19"/>
  <c r="C1322" i="19"/>
  <c r="B1322" i="19"/>
  <c r="C1321" i="19"/>
  <c r="B1321" i="19"/>
  <c r="C1320" i="19"/>
  <c r="B1320" i="19"/>
  <c r="C1319" i="19"/>
  <c r="B1319" i="19"/>
  <c r="C1318" i="19"/>
  <c r="B1318" i="19"/>
  <c r="C1317" i="19"/>
  <c r="B1317" i="19"/>
  <c r="C1316" i="19"/>
  <c r="B1316" i="19"/>
  <c r="C1315" i="19"/>
  <c r="B1315" i="19"/>
  <c r="C1314" i="19"/>
  <c r="B1314" i="19"/>
  <c r="C1313" i="19"/>
  <c r="B1313" i="19"/>
  <c r="C1312" i="19"/>
  <c r="B1312" i="19"/>
  <c r="C1311" i="19"/>
  <c r="B1311" i="19"/>
  <c r="C1310" i="19"/>
  <c r="B1310" i="19"/>
  <c r="C1309" i="19"/>
  <c r="B1309" i="19"/>
  <c r="C1308" i="19"/>
  <c r="B1308" i="19"/>
  <c r="C1307" i="19"/>
  <c r="B1307" i="19"/>
  <c r="C1306" i="19"/>
  <c r="B1306" i="19"/>
  <c r="C1305" i="19"/>
  <c r="B1305" i="19"/>
  <c r="C1304" i="19"/>
  <c r="B1304" i="19"/>
  <c r="C1303" i="19"/>
  <c r="B1303" i="19"/>
  <c r="C1302" i="19"/>
  <c r="B1302" i="19"/>
  <c r="C1301" i="19"/>
  <c r="B1301" i="19"/>
  <c r="C1300" i="19"/>
  <c r="B1300" i="19"/>
  <c r="C1299" i="19"/>
  <c r="B1299" i="19"/>
  <c r="C1298" i="19"/>
  <c r="B1298" i="19"/>
  <c r="C1297" i="19"/>
  <c r="B1297" i="19"/>
  <c r="C1296" i="19"/>
  <c r="B1296" i="19"/>
  <c r="C1295" i="19"/>
  <c r="B1295" i="19"/>
  <c r="C1294" i="19"/>
  <c r="B1294" i="19"/>
  <c r="C1293" i="19"/>
  <c r="B1293" i="19"/>
  <c r="C1292" i="19"/>
  <c r="B1292" i="19"/>
  <c r="C1291" i="19"/>
  <c r="B1291" i="19"/>
  <c r="C1290" i="19"/>
  <c r="B1290" i="19"/>
  <c r="C1289" i="19"/>
  <c r="B1289" i="19"/>
  <c r="C1288" i="19"/>
  <c r="B1288" i="19"/>
  <c r="C1287" i="19"/>
  <c r="B1287" i="19"/>
  <c r="C1286" i="19"/>
  <c r="B1286" i="19"/>
  <c r="C1285" i="19"/>
  <c r="B1285" i="19"/>
  <c r="C1284" i="19"/>
  <c r="B1284" i="19"/>
  <c r="C1283" i="19"/>
  <c r="B1283" i="19"/>
  <c r="C1282" i="19"/>
  <c r="B1282" i="19"/>
  <c r="C1281" i="19"/>
  <c r="B1281" i="19"/>
  <c r="C1280" i="19"/>
  <c r="B1280" i="19"/>
  <c r="C1279" i="19"/>
  <c r="B1279" i="19"/>
  <c r="C1278" i="19"/>
  <c r="B1278" i="19"/>
  <c r="C1277" i="19"/>
  <c r="B1277" i="19"/>
  <c r="C1276" i="19"/>
  <c r="B1276" i="19"/>
  <c r="C1275" i="19"/>
  <c r="B1275" i="19"/>
  <c r="C1274" i="19"/>
  <c r="B1274" i="19"/>
  <c r="C1273" i="19"/>
  <c r="B1273" i="19"/>
  <c r="C1272" i="19"/>
  <c r="B1272" i="19"/>
  <c r="C1271" i="19"/>
  <c r="B1271" i="19"/>
  <c r="C1270" i="19"/>
  <c r="B1270" i="19"/>
  <c r="C1269" i="19"/>
  <c r="B1269" i="19"/>
  <c r="C1268" i="19"/>
  <c r="B1268" i="19"/>
  <c r="C1267" i="19"/>
  <c r="B1267" i="19"/>
  <c r="C1266" i="19"/>
  <c r="B1266" i="19"/>
  <c r="C1265" i="19"/>
  <c r="B1265" i="19"/>
  <c r="C1264" i="19"/>
  <c r="B1264" i="19"/>
  <c r="C1263" i="19"/>
  <c r="B1263" i="19"/>
  <c r="C1262" i="19"/>
  <c r="B1262" i="19"/>
  <c r="C1261" i="19"/>
  <c r="B1261" i="19"/>
  <c r="C1260" i="19"/>
  <c r="B1260" i="19"/>
  <c r="C1259" i="19"/>
  <c r="B1259" i="19"/>
  <c r="C1258" i="19"/>
  <c r="B1258" i="19"/>
  <c r="C1257" i="19"/>
  <c r="B1257" i="19"/>
  <c r="C1256" i="19"/>
  <c r="B1256" i="19"/>
  <c r="C1255" i="19"/>
  <c r="B1255" i="19"/>
  <c r="C1254" i="19"/>
  <c r="B1254" i="19"/>
  <c r="C1253" i="19"/>
  <c r="B1253" i="19"/>
  <c r="C1252" i="19"/>
  <c r="B1252" i="19"/>
  <c r="C1251" i="19"/>
  <c r="B1251" i="19"/>
  <c r="C1250" i="19"/>
  <c r="B1250" i="19"/>
  <c r="C1249" i="19"/>
  <c r="B1249" i="19"/>
  <c r="C1248" i="19"/>
  <c r="B1248" i="19"/>
  <c r="C1247" i="19"/>
  <c r="B1247" i="19"/>
  <c r="C1246" i="19"/>
  <c r="B1246" i="19"/>
  <c r="C1245" i="19"/>
  <c r="B1245" i="19"/>
  <c r="C1244" i="19"/>
  <c r="B1244" i="19"/>
  <c r="C1243" i="19"/>
  <c r="B1243" i="19"/>
  <c r="C1242" i="19"/>
  <c r="B1242" i="19"/>
  <c r="C1241" i="19"/>
  <c r="B1241" i="19"/>
  <c r="C1240" i="19"/>
  <c r="B1240" i="19"/>
  <c r="C1239" i="19"/>
  <c r="B1239" i="19"/>
  <c r="C1238" i="19"/>
  <c r="B1238" i="19"/>
  <c r="C1237" i="19"/>
  <c r="B1237" i="19"/>
  <c r="C1236" i="19"/>
  <c r="B1236" i="19"/>
  <c r="C1235" i="19"/>
  <c r="B1235" i="19"/>
  <c r="C1234" i="19"/>
  <c r="B1234" i="19"/>
  <c r="C1233" i="19"/>
  <c r="B1233" i="19"/>
  <c r="C1232" i="19"/>
  <c r="B1232" i="19"/>
  <c r="C1231" i="19"/>
  <c r="B1231" i="19"/>
  <c r="C1230" i="19"/>
  <c r="B1230" i="19"/>
  <c r="C1229" i="19"/>
  <c r="B1229" i="19"/>
  <c r="C1228" i="19"/>
  <c r="B1228" i="19"/>
  <c r="C1227" i="19"/>
  <c r="B1227" i="19"/>
  <c r="C1226" i="19"/>
  <c r="B1226" i="19"/>
  <c r="C1225" i="19"/>
  <c r="B1225" i="19"/>
  <c r="C1224" i="19"/>
  <c r="B1224" i="19"/>
  <c r="C1223" i="19"/>
  <c r="B1223" i="19"/>
  <c r="C1222" i="19"/>
  <c r="B1222" i="19"/>
  <c r="C1221" i="19"/>
  <c r="B1221" i="19"/>
  <c r="C1220" i="19"/>
  <c r="B1220" i="19"/>
  <c r="C1219" i="19"/>
  <c r="B1219" i="19"/>
  <c r="C1218" i="19"/>
  <c r="B1218" i="19"/>
  <c r="C1217" i="19"/>
  <c r="B1217" i="19"/>
  <c r="C1216" i="19"/>
  <c r="B1216" i="19"/>
  <c r="C1215" i="19"/>
  <c r="B1215" i="19"/>
  <c r="C1214" i="19"/>
  <c r="B1214" i="19"/>
  <c r="C1213" i="19"/>
  <c r="B1213" i="19"/>
  <c r="C1212" i="19"/>
  <c r="B1212" i="19"/>
  <c r="C1211" i="19"/>
  <c r="B1211" i="19"/>
  <c r="C1210" i="19"/>
  <c r="B1210" i="19"/>
  <c r="C1209" i="19"/>
  <c r="B1209" i="19"/>
  <c r="C1208" i="19"/>
  <c r="B1208" i="19"/>
  <c r="C1207" i="19"/>
  <c r="B1207" i="19"/>
  <c r="C1206" i="19"/>
  <c r="B1206" i="19"/>
  <c r="C1205" i="19"/>
  <c r="B1205" i="19"/>
  <c r="C1204" i="19"/>
  <c r="B1204" i="19"/>
  <c r="C1203" i="19"/>
  <c r="B1203" i="19"/>
  <c r="C1202" i="19"/>
  <c r="B1202" i="19"/>
  <c r="C1201" i="19"/>
  <c r="B1201" i="19"/>
  <c r="C1200" i="19"/>
  <c r="B1200" i="19"/>
  <c r="C1199" i="19"/>
  <c r="B1199" i="19"/>
  <c r="C1198" i="19"/>
  <c r="B1198" i="19"/>
  <c r="C1197" i="19"/>
  <c r="B1197" i="19"/>
  <c r="C1196" i="19"/>
  <c r="B1196" i="19"/>
  <c r="C1195" i="19"/>
  <c r="B1195" i="19"/>
  <c r="C1194" i="19"/>
  <c r="B1194" i="19"/>
  <c r="C1193" i="19"/>
  <c r="B1193" i="19"/>
  <c r="C1192" i="19"/>
  <c r="B1192" i="19"/>
  <c r="C1191" i="19"/>
  <c r="B1191" i="19"/>
  <c r="C1190" i="19"/>
  <c r="B1190" i="19"/>
  <c r="C1189" i="19"/>
  <c r="B1189" i="19"/>
  <c r="C1188" i="19"/>
  <c r="B1188" i="19"/>
  <c r="C1187" i="19"/>
  <c r="B1187" i="19"/>
  <c r="C1186" i="19"/>
  <c r="B1186" i="19"/>
  <c r="C1185" i="19"/>
  <c r="B1185" i="19"/>
  <c r="C1184" i="19"/>
  <c r="B1184" i="19"/>
  <c r="C1183" i="19"/>
  <c r="B1183" i="19"/>
  <c r="C1182" i="19"/>
  <c r="B1182" i="19"/>
  <c r="C1181" i="19"/>
  <c r="B1181" i="19"/>
  <c r="C1180" i="19"/>
  <c r="B1180" i="19"/>
  <c r="C1179" i="19"/>
  <c r="B1179" i="19"/>
  <c r="C1178" i="19"/>
  <c r="B1178" i="19"/>
  <c r="C1177" i="19"/>
  <c r="B1177" i="19"/>
  <c r="C1176" i="19"/>
  <c r="B1176" i="19"/>
  <c r="C1175" i="19"/>
  <c r="B1175" i="19"/>
  <c r="C1174" i="19"/>
  <c r="B1174" i="19"/>
  <c r="C1173" i="19"/>
  <c r="B1173" i="19"/>
  <c r="C1172" i="19"/>
  <c r="B1172" i="19"/>
  <c r="C1171" i="19"/>
  <c r="B1171" i="19"/>
  <c r="C1170" i="19"/>
  <c r="B1170" i="19"/>
  <c r="C1169" i="19"/>
  <c r="B1169" i="19"/>
  <c r="C1168" i="19"/>
  <c r="B1168" i="19"/>
  <c r="C1167" i="19"/>
  <c r="B1167" i="19"/>
  <c r="C1166" i="19"/>
  <c r="B1166" i="19"/>
  <c r="C1165" i="19"/>
  <c r="B1165" i="19"/>
  <c r="C1164" i="19"/>
  <c r="B1164" i="19"/>
  <c r="C1163" i="19"/>
  <c r="B1163" i="19"/>
  <c r="C1162" i="19"/>
  <c r="B1162" i="19"/>
  <c r="C1161" i="19"/>
  <c r="B1161" i="19"/>
  <c r="C1160" i="19"/>
  <c r="B1160" i="19"/>
  <c r="C1159" i="19"/>
  <c r="B1159" i="19"/>
  <c r="C1158" i="19"/>
  <c r="B1158" i="19"/>
  <c r="C1157" i="19"/>
  <c r="B1157" i="19"/>
  <c r="C1156" i="19"/>
  <c r="B1156" i="19"/>
  <c r="C1155" i="19"/>
  <c r="B1155" i="19"/>
  <c r="C1154" i="19"/>
  <c r="B1154" i="19"/>
  <c r="C1153" i="19"/>
  <c r="B1153" i="19"/>
  <c r="C1152" i="19"/>
  <c r="B1152" i="19"/>
  <c r="C1151" i="19"/>
  <c r="B1151" i="19"/>
  <c r="C1150" i="19"/>
  <c r="B1150" i="19"/>
  <c r="C1149" i="19"/>
  <c r="B1149" i="19"/>
  <c r="C1148" i="19"/>
  <c r="B1148" i="19"/>
  <c r="C1147" i="19"/>
  <c r="B1147" i="19"/>
  <c r="C1146" i="19"/>
  <c r="B1146" i="19"/>
  <c r="C1145" i="19"/>
  <c r="B1145" i="19"/>
  <c r="C1144" i="19"/>
  <c r="B1144" i="19"/>
  <c r="C1143" i="19"/>
  <c r="B1143" i="19"/>
  <c r="C1142" i="19"/>
  <c r="B1142" i="19"/>
  <c r="C1141" i="19"/>
  <c r="B1141" i="19"/>
  <c r="C1140" i="19"/>
  <c r="B1140" i="19"/>
  <c r="C1139" i="19"/>
  <c r="B1139" i="19"/>
  <c r="C1138" i="19"/>
  <c r="B1138" i="19"/>
  <c r="C1137" i="19"/>
  <c r="B1137" i="19"/>
  <c r="C1136" i="19"/>
  <c r="B1136" i="19"/>
  <c r="C1135" i="19"/>
  <c r="B1135" i="19"/>
  <c r="C1134" i="19"/>
  <c r="B1134" i="19"/>
  <c r="C1133" i="19"/>
  <c r="B1133" i="19"/>
  <c r="C1132" i="19"/>
  <c r="B1132" i="19"/>
  <c r="C1131" i="19"/>
  <c r="B1131" i="19"/>
  <c r="C1130" i="19"/>
  <c r="B1130" i="19"/>
  <c r="C1129" i="19"/>
  <c r="B1129" i="19"/>
  <c r="C1128" i="19"/>
  <c r="B1128" i="19"/>
  <c r="C1127" i="19"/>
  <c r="B1127" i="19"/>
  <c r="C1126" i="19"/>
  <c r="B1126" i="19"/>
  <c r="C1125" i="19"/>
  <c r="B1125" i="19"/>
  <c r="C1124" i="19"/>
  <c r="B1124" i="19"/>
  <c r="C1123" i="19"/>
  <c r="B1123" i="19"/>
  <c r="C1122" i="19"/>
  <c r="B1122" i="19"/>
  <c r="C1121" i="19"/>
  <c r="B1121" i="19"/>
  <c r="C1120" i="19"/>
  <c r="B1120" i="19"/>
  <c r="C1119" i="19"/>
  <c r="B1119" i="19"/>
  <c r="C1118" i="19"/>
  <c r="B1118" i="19"/>
  <c r="C1117" i="19"/>
  <c r="B1117" i="19"/>
  <c r="C1116" i="19"/>
  <c r="B1116" i="19"/>
  <c r="C1115" i="19"/>
  <c r="B1115" i="19"/>
  <c r="C1114" i="19"/>
  <c r="B1114" i="19"/>
  <c r="C1113" i="19"/>
  <c r="B1113" i="19"/>
  <c r="C1112" i="19"/>
  <c r="B1112" i="19"/>
  <c r="C1111" i="19"/>
  <c r="B1111" i="19"/>
  <c r="C1110" i="19"/>
  <c r="B1110" i="19"/>
  <c r="C1109" i="19"/>
  <c r="B1109" i="19"/>
  <c r="C1108" i="19"/>
  <c r="B1108" i="19"/>
  <c r="C1107" i="19"/>
  <c r="B1107" i="19"/>
  <c r="C1106" i="19"/>
  <c r="B1106" i="19"/>
  <c r="C1105" i="19"/>
  <c r="B1105" i="19"/>
  <c r="C1104" i="19"/>
  <c r="B1104" i="19"/>
  <c r="C1103" i="19"/>
  <c r="B1103" i="19"/>
  <c r="C1102" i="19"/>
  <c r="B1102" i="19"/>
  <c r="C1101" i="19"/>
  <c r="B1101" i="19"/>
  <c r="C1100" i="19"/>
  <c r="B1100" i="19"/>
  <c r="C1099" i="19"/>
  <c r="B1099" i="19"/>
  <c r="C1098" i="19"/>
  <c r="B1098" i="19"/>
  <c r="C1097" i="19"/>
  <c r="B1097" i="19"/>
  <c r="C1096" i="19"/>
  <c r="B1096" i="19"/>
  <c r="C1095" i="19"/>
  <c r="B1095" i="19"/>
  <c r="C1094" i="19"/>
  <c r="B1094" i="19"/>
  <c r="C1093" i="19"/>
  <c r="B1093" i="19"/>
  <c r="C1092" i="19"/>
  <c r="B1092" i="19"/>
  <c r="C1091" i="19"/>
  <c r="B1091" i="19"/>
  <c r="C1090" i="19"/>
  <c r="B1090" i="19"/>
  <c r="C1089" i="19"/>
  <c r="B1089" i="19"/>
  <c r="C1088" i="19"/>
  <c r="B1088" i="19"/>
  <c r="C1087" i="19"/>
  <c r="B1087" i="19"/>
  <c r="C1086" i="19"/>
  <c r="B1086" i="19"/>
  <c r="C1085" i="19"/>
  <c r="B1085" i="19"/>
  <c r="C1084" i="19"/>
  <c r="B1084" i="19"/>
  <c r="C1083" i="19"/>
  <c r="B1083" i="19"/>
  <c r="C1082" i="19"/>
  <c r="B1082" i="19"/>
  <c r="C1081" i="19"/>
  <c r="B1081" i="19"/>
  <c r="C1080" i="19"/>
  <c r="B1080" i="19"/>
  <c r="C1079" i="19"/>
  <c r="B1079" i="19"/>
  <c r="C1078" i="19"/>
  <c r="B1078" i="19"/>
  <c r="C1077" i="19"/>
  <c r="B1077" i="19"/>
  <c r="C1076" i="19"/>
  <c r="B1076" i="19"/>
  <c r="C1075" i="19"/>
  <c r="B1075" i="19"/>
  <c r="C1074" i="19"/>
  <c r="B1074" i="19"/>
  <c r="C1073" i="19"/>
  <c r="B1073" i="19"/>
  <c r="C1072" i="19"/>
  <c r="B1072" i="19"/>
  <c r="C1071" i="19"/>
  <c r="B1071" i="19"/>
  <c r="C1070" i="19"/>
  <c r="B1070" i="19"/>
  <c r="C1069" i="19"/>
  <c r="B1069" i="19"/>
  <c r="C1068" i="19"/>
  <c r="B1068" i="19"/>
  <c r="C1067" i="19"/>
  <c r="B1067" i="19"/>
  <c r="C1066" i="19"/>
  <c r="B1066" i="19"/>
  <c r="C1065" i="19"/>
  <c r="B1065" i="19"/>
  <c r="C1064" i="19"/>
  <c r="B1064" i="19"/>
  <c r="C1063" i="19"/>
  <c r="B1063" i="19"/>
  <c r="C1062" i="19"/>
  <c r="B1062" i="19"/>
  <c r="C1061" i="19"/>
  <c r="B1061" i="19"/>
  <c r="C1060" i="19"/>
  <c r="B1060" i="19"/>
  <c r="C1059" i="19"/>
  <c r="B1059" i="19"/>
  <c r="C1058" i="19"/>
  <c r="B1058" i="19"/>
  <c r="C1057" i="19"/>
  <c r="B1057" i="19"/>
  <c r="C1056" i="19"/>
  <c r="B1056" i="19"/>
  <c r="C1055" i="19"/>
  <c r="B1055" i="19"/>
  <c r="C1054" i="19"/>
  <c r="B1054" i="19"/>
  <c r="C1053" i="19"/>
  <c r="B1053" i="19"/>
  <c r="C1052" i="19"/>
  <c r="B1052" i="19"/>
  <c r="C1051" i="19"/>
  <c r="B1051" i="19"/>
  <c r="C1050" i="19"/>
  <c r="B1050" i="19"/>
  <c r="C1049" i="19"/>
  <c r="B1049" i="19"/>
  <c r="C1048" i="19"/>
  <c r="B1048" i="19"/>
  <c r="C1047" i="19"/>
  <c r="B1047" i="19"/>
  <c r="C1046" i="19"/>
  <c r="B1046" i="19"/>
  <c r="C1045" i="19"/>
  <c r="B1045" i="19"/>
  <c r="C1044" i="19"/>
  <c r="B1044" i="19"/>
  <c r="C1043" i="19"/>
  <c r="B1043" i="19"/>
  <c r="C1042" i="19"/>
  <c r="B1042" i="19"/>
  <c r="C1041" i="19"/>
  <c r="B1041" i="19"/>
  <c r="C1040" i="19"/>
  <c r="B1040" i="19"/>
  <c r="C1039" i="19"/>
  <c r="B1039" i="19"/>
  <c r="C1038" i="19"/>
  <c r="B1038" i="19"/>
  <c r="C1037" i="19"/>
  <c r="B1037" i="19"/>
  <c r="C1036" i="19"/>
  <c r="B1036" i="19"/>
  <c r="C1035" i="19"/>
  <c r="B1035" i="19"/>
  <c r="C1034" i="19"/>
  <c r="B1034" i="19"/>
  <c r="C1033" i="19"/>
  <c r="B1033" i="19"/>
  <c r="C1032" i="19"/>
  <c r="B1032" i="19"/>
  <c r="C1031" i="19"/>
  <c r="B1031" i="19"/>
  <c r="C1030" i="19"/>
  <c r="B1030" i="19"/>
  <c r="C1029" i="19"/>
  <c r="B1029" i="19"/>
  <c r="C1028" i="19"/>
  <c r="B1028" i="19"/>
  <c r="C1027" i="19"/>
  <c r="B1027" i="19"/>
  <c r="C1026" i="19"/>
  <c r="B1026" i="19"/>
  <c r="C1025" i="19"/>
  <c r="B1025" i="19"/>
  <c r="C1024" i="19"/>
  <c r="B1024" i="19"/>
  <c r="C1023" i="19"/>
  <c r="B1023" i="19"/>
  <c r="C1022" i="19"/>
  <c r="B1022" i="19"/>
  <c r="C1021" i="19"/>
  <c r="B1021" i="19"/>
  <c r="C1020" i="19"/>
  <c r="B1020" i="19"/>
  <c r="C1019" i="19"/>
  <c r="B1019" i="19"/>
  <c r="C1018" i="19"/>
  <c r="B1018" i="19"/>
  <c r="C1017" i="19"/>
  <c r="B1017" i="19"/>
  <c r="C1016" i="19"/>
  <c r="B1016" i="19"/>
  <c r="C1015" i="19"/>
  <c r="B1015" i="19"/>
  <c r="C1014" i="19"/>
  <c r="B1014" i="19"/>
  <c r="C1013" i="19"/>
  <c r="B1013" i="19"/>
  <c r="C1012" i="19"/>
  <c r="B1012" i="19"/>
  <c r="C1011" i="19"/>
  <c r="B1011" i="19"/>
  <c r="C1010" i="19"/>
  <c r="B1010" i="19"/>
  <c r="C1009" i="19"/>
  <c r="B1009" i="19"/>
  <c r="C1008" i="19"/>
  <c r="B1008" i="19"/>
  <c r="C1007" i="19"/>
  <c r="B1007" i="19"/>
  <c r="C1006" i="19"/>
  <c r="B1006" i="19"/>
  <c r="C1005" i="19"/>
  <c r="B1005" i="19"/>
  <c r="C1004" i="19"/>
  <c r="B1004" i="19"/>
  <c r="C1003" i="19"/>
  <c r="B1003" i="19"/>
  <c r="C1002" i="19"/>
  <c r="B1002" i="19"/>
  <c r="C1001" i="19"/>
  <c r="B1001" i="19"/>
  <c r="C1000" i="19"/>
  <c r="B1000" i="19"/>
  <c r="C999" i="19"/>
  <c r="B999" i="19"/>
  <c r="C998" i="19"/>
  <c r="B998" i="19"/>
  <c r="C997" i="19"/>
  <c r="B997" i="19"/>
  <c r="C996" i="19"/>
  <c r="B996" i="19"/>
  <c r="C995" i="19"/>
  <c r="B995" i="19"/>
  <c r="C994" i="19"/>
  <c r="B994" i="19"/>
  <c r="C993" i="19"/>
  <c r="B993" i="19"/>
  <c r="C992" i="19"/>
  <c r="B992" i="19"/>
  <c r="C991" i="19"/>
  <c r="B991" i="19"/>
  <c r="C990" i="19"/>
  <c r="B990" i="19"/>
  <c r="C989" i="19"/>
  <c r="B989" i="19"/>
  <c r="C988" i="19"/>
  <c r="B988" i="19"/>
  <c r="C987" i="19"/>
  <c r="B987" i="19"/>
  <c r="C986" i="19"/>
  <c r="B986" i="19"/>
  <c r="C985" i="19"/>
  <c r="B985" i="19"/>
  <c r="C984" i="19"/>
  <c r="B984" i="19"/>
  <c r="C983" i="19"/>
  <c r="B983" i="19"/>
  <c r="C982" i="19"/>
  <c r="B982" i="19"/>
  <c r="C981" i="19"/>
  <c r="B981" i="19"/>
  <c r="C980" i="19"/>
  <c r="B980" i="19"/>
  <c r="C979" i="19"/>
  <c r="B979" i="19"/>
  <c r="C978" i="19"/>
  <c r="B978" i="19"/>
  <c r="C977" i="19"/>
  <c r="B977" i="19"/>
  <c r="C976" i="19"/>
  <c r="B976" i="19"/>
  <c r="C975" i="19"/>
  <c r="B975" i="19"/>
  <c r="C974" i="19"/>
  <c r="B974" i="19"/>
  <c r="C973" i="19"/>
  <c r="B973" i="19"/>
  <c r="C972" i="19"/>
  <c r="B972" i="19"/>
  <c r="C971" i="19"/>
  <c r="B971" i="19"/>
  <c r="C970" i="19"/>
  <c r="B970" i="19"/>
  <c r="C969" i="19"/>
  <c r="B969" i="19"/>
  <c r="C968" i="19"/>
  <c r="B968" i="19"/>
  <c r="C967" i="19"/>
  <c r="B967" i="19"/>
  <c r="C966" i="19"/>
  <c r="B966" i="19"/>
  <c r="C965" i="19"/>
  <c r="B965" i="19"/>
  <c r="C964" i="19"/>
  <c r="B964" i="19"/>
  <c r="C963" i="19"/>
  <c r="B963" i="19"/>
  <c r="C962" i="19"/>
  <c r="B962" i="19"/>
  <c r="C961" i="19"/>
  <c r="B961" i="19"/>
  <c r="C960" i="19"/>
  <c r="B960" i="19"/>
  <c r="C959" i="19"/>
  <c r="B959" i="19"/>
  <c r="C958" i="19"/>
  <c r="B958" i="19"/>
  <c r="C957" i="19"/>
  <c r="B957" i="19"/>
  <c r="C956" i="19"/>
  <c r="B956" i="19"/>
  <c r="C955" i="19"/>
  <c r="B955" i="19"/>
  <c r="C954" i="19"/>
  <c r="B954" i="19"/>
  <c r="C953" i="19"/>
  <c r="B953" i="19"/>
  <c r="C952" i="19"/>
  <c r="B952" i="19"/>
  <c r="C951" i="19"/>
  <c r="B951" i="19"/>
  <c r="C950" i="19"/>
  <c r="B950" i="19"/>
  <c r="C949" i="19"/>
  <c r="B949" i="19"/>
  <c r="C948" i="19"/>
  <c r="B948" i="19"/>
  <c r="C947" i="19"/>
  <c r="B947" i="19"/>
  <c r="C946" i="19"/>
  <c r="B946" i="19"/>
  <c r="C945" i="19"/>
  <c r="B945" i="19"/>
  <c r="C944" i="19"/>
  <c r="B944" i="19"/>
  <c r="C943" i="19"/>
  <c r="B943" i="19"/>
  <c r="C942" i="19"/>
  <c r="B942" i="19"/>
  <c r="C941" i="19"/>
  <c r="B941" i="19"/>
  <c r="C940" i="19"/>
  <c r="B940" i="19"/>
  <c r="C939" i="19"/>
  <c r="B939" i="19"/>
  <c r="C938" i="19"/>
  <c r="B938" i="19"/>
  <c r="C937" i="19"/>
  <c r="B937" i="19"/>
  <c r="C936" i="19"/>
  <c r="B936" i="19"/>
  <c r="C935" i="19"/>
  <c r="B935" i="19"/>
  <c r="C934" i="19"/>
  <c r="B934" i="19"/>
  <c r="C933" i="19"/>
  <c r="B933" i="19"/>
  <c r="C932" i="19"/>
  <c r="B932" i="19"/>
  <c r="C931" i="19"/>
  <c r="B931" i="19"/>
  <c r="C930" i="19"/>
  <c r="B930" i="19"/>
  <c r="C929" i="19"/>
  <c r="B929" i="19"/>
  <c r="C928" i="19"/>
  <c r="B928" i="19"/>
  <c r="C927" i="19"/>
  <c r="B927" i="19"/>
  <c r="C926" i="19"/>
  <c r="B926" i="19"/>
  <c r="C925" i="19"/>
  <c r="B925" i="19"/>
  <c r="C924" i="19"/>
  <c r="B924" i="19"/>
  <c r="C923" i="19"/>
  <c r="B923" i="19"/>
  <c r="C922" i="19"/>
  <c r="B922" i="19"/>
  <c r="C921" i="19"/>
  <c r="B921" i="19"/>
  <c r="C920" i="19"/>
  <c r="B920" i="19"/>
  <c r="C919" i="19"/>
  <c r="B919" i="19"/>
  <c r="C918" i="19"/>
  <c r="B918" i="19"/>
  <c r="C917" i="19"/>
  <c r="B917" i="19"/>
  <c r="C916" i="19"/>
  <c r="B916" i="19"/>
  <c r="C915" i="19"/>
  <c r="B915" i="19"/>
  <c r="C914" i="19"/>
  <c r="B914" i="19"/>
  <c r="C913" i="19"/>
  <c r="B913" i="19"/>
  <c r="C912" i="19"/>
  <c r="B912" i="19"/>
  <c r="C911" i="19"/>
  <c r="B911" i="19"/>
  <c r="C910" i="19"/>
  <c r="B910" i="19"/>
  <c r="C909" i="19"/>
  <c r="B909" i="19"/>
  <c r="C908" i="19"/>
  <c r="B908" i="19"/>
  <c r="C907" i="19"/>
  <c r="B907" i="19"/>
  <c r="C906" i="19"/>
  <c r="B906" i="19"/>
  <c r="C905" i="19"/>
  <c r="B905" i="19"/>
  <c r="C904" i="19"/>
  <c r="B904" i="19"/>
  <c r="C903" i="19"/>
  <c r="B903" i="19"/>
  <c r="C902" i="19"/>
  <c r="B902" i="19"/>
  <c r="C901" i="19"/>
  <c r="B901" i="19"/>
  <c r="C900" i="19"/>
  <c r="B900" i="19"/>
  <c r="C899" i="19"/>
  <c r="B899" i="19"/>
  <c r="C898" i="19"/>
  <c r="B898" i="19"/>
  <c r="C897" i="19"/>
  <c r="B897" i="19"/>
  <c r="C896" i="19"/>
  <c r="B896" i="19"/>
  <c r="C895" i="19"/>
  <c r="B895" i="19"/>
  <c r="C894" i="19"/>
  <c r="B894" i="19"/>
  <c r="C893" i="19"/>
  <c r="B893" i="19"/>
  <c r="C892" i="19"/>
  <c r="B892" i="19"/>
  <c r="C891" i="19"/>
  <c r="B891" i="19"/>
  <c r="C890" i="19"/>
  <c r="B890" i="19"/>
  <c r="C889" i="19"/>
  <c r="B889" i="19"/>
  <c r="C888" i="19"/>
  <c r="B888" i="19"/>
  <c r="C887" i="19"/>
  <c r="B887" i="19"/>
  <c r="C886" i="19"/>
  <c r="B886" i="19"/>
  <c r="C885" i="19"/>
  <c r="B885" i="19"/>
  <c r="C884" i="19"/>
  <c r="B884" i="19"/>
  <c r="C883" i="19"/>
  <c r="B883" i="19"/>
  <c r="C882" i="19"/>
  <c r="B882" i="19"/>
  <c r="C881" i="19"/>
  <c r="B881" i="19"/>
  <c r="C880" i="19"/>
  <c r="B880" i="19"/>
  <c r="C879" i="19"/>
  <c r="B879" i="19"/>
  <c r="C878" i="19"/>
  <c r="B878" i="19"/>
  <c r="C877" i="19"/>
  <c r="B877" i="19"/>
  <c r="C876" i="19"/>
  <c r="B876" i="19"/>
  <c r="C875" i="19"/>
  <c r="B875" i="19"/>
  <c r="C874" i="19"/>
  <c r="B874" i="19"/>
  <c r="C873" i="19"/>
  <c r="B873" i="19"/>
  <c r="C872" i="19"/>
  <c r="B872" i="19"/>
  <c r="C871" i="19"/>
  <c r="B871" i="19"/>
  <c r="C870" i="19"/>
  <c r="B870" i="19"/>
  <c r="C869" i="19"/>
  <c r="B869" i="19"/>
  <c r="C868" i="19"/>
  <c r="B868" i="19"/>
  <c r="C867" i="19"/>
  <c r="B867" i="19"/>
  <c r="C866" i="19"/>
  <c r="B866" i="19"/>
  <c r="C865" i="19"/>
  <c r="B865" i="19"/>
  <c r="C864" i="19"/>
  <c r="B864" i="19"/>
  <c r="C863" i="19"/>
  <c r="B863" i="19"/>
  <c r="C862" i="19"/>
  <c r="B862" i="19"/>
  <c r="C861" i="19"/>
  <c r="B861" i="19"/>
  <c r="C860" i="19"/>
  <c r="B860" i="19"/>
  <c r="C859" i="19"/>
  <c r="B859" i="19"/>
  <c r="C858" i="19"/>
  <c r="B858" i="19"/>
  <c r="C857" i="19"/>
  <c r="B857" i="19"/>
  <c r="C856" i="19"/>
  <c r="B856" i="19"/>
  <c r="C855" i="19"/>
  <c r="B855" i="19"/>
  <c r="C854" i="19"/>
  <c r="B854" i="19"/>
  <c r="C853" i="19"/>
  <c r="B853" i="19"/>
  <c r="C852" i="19"/>
  <c r="B852" i="19"/>
  <c r="C851" i="19"/>
  <c r="B851" i="19"/>
  <c r="C850" i="19"/>
  <c r="B850" i="19"/>
  <c r="C849" i="19"/>
  <c r="B849" i="19"/>
  <c r="C848" i="19"/>
  <c r="B848" i="19"/>
  <c r="C847" i="19"/>
  <c r="B847" i="19"/>
  <c r="C846" i="19"/>
  <c r="B846" i="19"/>
  <c r="C845" i="19"/>
  <c r="B845" i="19"/>
  <c r="C844" i="19"/>
  <c r="B844" i="19"/>
  <c r="C843" i="19"/>
  <c r="B843" i="19"/>
  <c r="C842" i="19"/>
  <c r="B842" i="19"/>
  <c r="C841" i="19"/>
  <c r="B841" i="19"/>
  <c r="C840" i="19"/>
  <c r="B840" i="19"/>
  <c r="C839" i="19"/>
  <c r="B839" i="19"/>
  <c r="C838" i="19"/>
  <c r="B838" i="19"/>
  <c r="C837" i="19"/>
  <c r="B837" i="19"/>
  <c r="C836" i="19"/>
  <c r="B836" i="19"/>
  <c r="C835" i="19"/>
  <c r="B835" i="19"/>
  <c r="C834" i="19"/>
  <c r="B834" i="19"/>
  <c r="C833" i="19"/>
  <c r="B833" i="19"/>
  <c r="C832" i="19"/>
  <c r="B832" i="19"/>
  <c r="C831" i="19"/>
  <c r="B831" i="19"/>
  <c r="C830" i="19"/>
  <c r="B830" i="19"/>
  <c r="C829" i="19"/>
  <c r="B829" i="19"/>
  <c r="C828" i="19"/>
  <c r="B828" i="19"/>
  <c r="C827" i="19"/>
  <c r="B827" i="19"/>
  <c r="C826" i="19"/>
  <c r="B826" i="19"/>
  <c r="C825" i="19"/>
  <c r="B825" i="19"/>
  <c r="C824" i="19"/>
  <c r="B824" i="19"/>
  <c r="C823" i="19"/>
  <c r="B823" i="19"/>
  <c r="C822" i="19"/>
  <c r="B822" i="19"/>
  <c r="C821" i="19"/>
  <c r="B821" i="19"/>
  <c r="C820" i="19"/>
  <c r="B820" i="19"/>
  <c r="C819" i="19"/>
  <c r="B819" i="19"/>
  <c r="C818" i="19"/>
  <c r="B818" i="19"/>
  <c r="C817" i="19"/>
  <c r="B817" i="19"/>
  <c r="C816" i="19"/>
  <c r="B816" i="19"/>
  <c r="C815" i="19"/>
  <c r="B815" i="19"/>
  <c r="C814" i="19"/>
  <c r="B814" i="19"/>
  <c r="C813" i="19"/>
  <c r="B813" i="19"/>
  <c r="C812" i="19"/>
  <c r="B812" i="19"/>
  <c r="C811" i="19"/>
  <c r="B811" i="19"/>
  <c r="C810" i="19"/>
  <c r="B810" i="19"/>
  <c r="C809" i="19"/>
  <c r="B809" i="19"/>
  <c r="C808" i="19"/>
  <c r="B808" i="19"/>
  <c r="C807" i="19"/>
  <c r="B807" i="19"/>
  <c r="C806" i="19"/>
  <c r="B806" i="19"/>
  <c r="C805" i="19"/>
  <c r="B805" i="19"/>
  <c r="C804" i="19"/>
  <c r="B804" i="19"/>
  <c r="C803" i="19"/>
  <c r="B803" i="19"/>
  <c r="C802" i="19"/>
  <c r="B802" i="19"/>
  <c r="C801" i="19"/>
  <c r="B801" i="19"/>
  <c r="C800" i="19"/>
  <c r="B800" i="19"/>
  <c r="C799" i="19"/>
  <c r="B799" i="19"/>
  <c r="C798" i="19"/>
  <c r="B798" i="19"/>
  <c r="C797" i="19"/>
  <c r="B797" i="19"/>
  <c r="C796" i="19"/>
  <c r="B796" i="19"/>
  <c r="C795" i="19"/>
  <c r="B795" i="19"/>
  <c r="C794" i="19"/>
  <c r="B794" i="19"/>
  <c r="C793" i="19"/>
  <c r="B793" i="19"/>
  <c r="C792" i="19"/>
  <c r="B792" i="19"/>
  <c r="C791" i="19"/>
  <c r="B791" i="19"/>
  <c r="C790" i="19"/>
  <c r="B790" i="19"/>
  <c r="C789" i="19"/>
  <c r="B789" i="19"/>
  <c r="C788" i="19"/>
  <c r="B788" i="19"/>
  <c r="C787" i="19"/>
  <c r="B787" i="19"/>
  <c r="C786" i="19"/>
  <c r="B786" i="19"/>
  <c r="C785" i="19"/>
  <c r="B785" i="19"/>
  <c r="C784" i="19"/>
  <c r="B784" i="19"/>
  <c r="C783" i="19"/>
  <c r="B783" i="19"/>
  <c r="C782" i="19"/>
  <c r="B782" i="19"/>
  <c r="C781" i="19"/>
  <c r="B781" i="19"/>
  <c r="C780" i="19"/>
  <c r="B780" i="19"/>
  <c r="C779" i="19"/>
  <c r="B779" i="19"/>
  <c r="C778" i="19"/>
  <c r="B778" i="19"/>
  <c r="C777" i="19"/>
  <c r="B777" i="19"/>
  <c r="C776" i="19"/>
  <c r="B776" i="19"/>
  <c r="C775" i="19"/>
  <c r="B775" i="19"/>
  <c r="C774" i="19"/>
  <c r="B774" i="19"/>
  <c r="C773" i="19"/>
  <c r="B773" i="19"/>
  <c r="C772" i="19"/>
  <c r="B772" i="19"/>
  <c r="C771" i="19"/>
  <c r="B771" i="19"/>
  <c r="C770" i="19"/>
  <c r="B770" i="19"/>
  <c r="C769" i="19"/>
  <c r="B769" i="19"/>
  <c r="C768" i="19"/>
  <c r="B768" i="19"/>
  <c r="C767" i="19"/>
  <c r="B767" i="19"/>
  <c r="C766" i="19"/>
  <c r="B766" i="19"/>
  <c r="C765" i="19"/>
  <c r="B765" i="19"/>
  <c r="C764" i="19"/>
  <c r="B764" i="19"/>
  <c r="C763" i="19"/>
  <c r="B763" i="19"/>
  <c r="C762" i="19"/>
  <c r="B762" i="19"/>
  <c r="C761" i="19"/>
  <c r="B761" i="19"/>
  <c r="C760" i="19"/>
  <c r="B760" i="19"/>
  <c r="C759" i="19"/>
  <c r="B759" i="19"/>
  <c r="C758" i="19"/>
  <c r="B758" i="19"/>
  <c r="C757" i="19"/>
  <c r="B757" i="19"/>
  <c r="C756" i="19"/>
  <c r="B756" i="19"/>
  <c r="C755" i="19"/>
  <c r="B755" i="19"/>
  <c r="C754" i="19"/>
  <c r="B754" i="19"/>
  <c r="C753" i="19"/>
  <c r="B753" i="19"/>
  <c r="C752" i="19"/>
  <c r="B752" i="19"/>
  <c r="C751" i="19"/>
  <c r="B751" i="19"/>
  <c r="C750" i="19"/>
  <c r="B750" i="19"/>
  <c r="C749" i="19"/>
  <c r="B749" i="19"/>
  <c r="C748" i="19"/>
  <c r="B748" i="19"/>
  <c r="C747" i="19"/>
  <c r="B747" i="19"/>
  <c r="C746" i="19"/>
  <c r="B746" i="19"/>
  <c r="C745" i="19"/>
  <c r="B745" i="19"/>
  <c r="C744" i="19"/>
  <c r="B744" i="19"/>
  <c r="C743" i="19"/>
  <c r="B743" i="19"/>
  <c r="C742" i="19"/>
  <c r="B742" i="19"/>
  <c r="C741" i="19"/>
  <c r="B741" i="19"/>
  <c r="C740" i="19"/>
  <c r="B740" i="19"/>
  <c r="C739" i="19"/>
  <c r="B739" i="19"/>
  <c r="C738" i="19"/>
  <c r="B738" i="19"/>
  <c r="C737" i="19"/>
  <c r="B737" i="19"/>
  <c r="C736" i="19"/>
  <c r="B736" i="19"/>
  <c r="C735" i="19"/>
  <c r="B735" i="19"/>
  <c r="C734" i="19"/>
  <c r="B734" i="19"/>
  <c r="C733" i="19"/>
  <c r="B733" i="19"/>
  <c r="C732" i="19"/>
  <c r="B732" i="19"/>
  <c r="C731" i="19"/>
  <c r="B731" i="19"/>
  <c r="C730" i="19"/>
  <c r="B730" i="19"/>
  <c r="C729" i="19"/>
  <c r="B729" i="19"/>
  <c r="C728" i="19"/>
  <c r="B728" i="19"/>
  <c r="C727" i="19"/>
  <c r="B727" i="19"/>
  <c r="C726" i="19"/>
  <c r="B726" i="19"/>
  <c r="C725" i="19"/>
  <c r="B725" i="19"/>
  <c r="C724" i="19"/>
  <c r="B724" i="19"/>
  <c r="C723" i="19"/>
  <c r="B723" i="19"/>
  <c r="C722" i="19"/>
  <c r="B722" i="19"/>
  <c r="C721" i="19"/>
  <c r="B721" i="19"/>
  <c r="C720" i="19"/>
  <c r="B720" i="19"/>
  <c r="C719" i="19"/>
  <c r="B719" i="19"/>
  <c r="C718" i="19"/>
  <c r="B718" i="19"/>
  <c r="C717" i="19"/>
  <c r="B717" i="19"/>
  <c r="C716" i="19"/>
  <c r="B716" i="19"/>
  <c r="C715" i="19"/>
  <c r="B715" i="19"/>
  <c r="C714" i="19"/>
  <c r="B714" i="19"/>
  <c r="C713" i="19"/>
  <c r="B713" i="19"/>
  <c r="C712" i="19"/>
  <c r="B712" i="19"/>
  <c r="C711" i="19"/>
  <c r="B711" i="19"/>
  <c r="C710" i="19"/>
  <c r="B710" i="19"/>
  <c r="C709" i="19"/>
  <c r="B709" i="19"/>
  <c r="C708" i="19"/>
  <c r="B708" i="19"/>
  <c r="C707" i="19"/>
  <c r="B707" i="19"/>
  <c r="C706" i="19"/>
  <c r="B706" i="19"/>
  <c r="C705" i="19"/>
  <c r="B705" i="19"/>
  <c r="C704" i="19"/>
  <c r="B704" i="19"/>
  <c r="C703" i="19"/>
  <c r="B703" i="19"/>
  <c r="C702" i="19"/>
  <c r="B702" i="19"/>
  <c r="C701" i="19"/>
  <c r="B701" i="19"/>
  <c r="C700" i="19"/>
  <c r="B700" i="19"/>
  <c r="C699" i="19"/>
  <c r="B699" i="19"/>
  <c r="C698" i="19"/>
  <c r="B698" i="19"/>
  <c r="C697" i="19"/>
  <c r="B697" i="19"/>
  <c r="C696" i="19"/>
  <c r="B696" i="19"/>
  <c r="C695" i="19"/>
  <c r="B695" i="19"/>
  <c r="C694" i="19"/>
  <c r="B694" i="19"/>
  <c r="C693" i="19"/>
  <c r="B693" i="19"/>
  <c r="C692" i="19"/>
  <c r="B692" i="19"/>
  <c r="C691" i="19"/>
  <c r="B691" i="19"/>
  <c r="C690" i="19"/>
  <c r="B690" i="19"/>
  <c r="C689" i="19"/>
  <c r="B689" i="19"/>
  <c r="C688" i="19"/>
  <c r="B688" i="19"/>
  <c r="C687" i="19"/>
  <c r="B687" i="19"/>
  <c r="C686" i="19"/>
  <c r="B686" i="19"/>
  <c r="C685" i="19"/>
  <c r="B685" i="19"/>
  <c r="C684" i="19"/>
  <c r="B684" i="19"/>
  <c r="C683" i="19"/>
  <c r="B683" i="19"/>
  <c r="C682" i="19"/>
  <c r="B682" i="19"/>
  <c r="C681" i="19"/>
  <c r="B681" i="19"/>
  <c r="C680" i="19"/>
  <c r="B680" i="19"/>
  <c r="C679" i="19"/>
  <c r="B679" i="19"/>
  <c r="C678" i="19"/>
  <c r="B678" i="19"/>
  <c r="C677" i="19"/>
  <c r="B677" i="19"/>
  <c r="C676" i="19"/>
  <c r="B676" i="19"/>
  <c r="C675" i="19"/>
  <c r="B675" i="19"/>
  <c r="C674" i="19"/>
  <c r="B674" i="19"/>
  <c r="C673" i="19"/>
  <c r="B673" i="19"/>
  <c r="C672" i="19"/>
  <c r="B672" i="19"/>
  <c r="C671" i="19"/>
  <c r="B671" i="19"/>
  <c r="C670" i="19"/>
  <c r="B670" i="19"/>
  <c r="C669" i="19"/>
  <c r="B669" i="19"/>
  <c r="C668" i="19"/>
  <c r="B668" i="19"/>
  <c r="C667" i="19"/>
  <c r="B667" i="19"/>
  <c r="C666" i="19"/>
  <c r="B666" i="19"/>
  <c r="C665" i="19"/>
  <c r="B665" i="19"/>
  <c r="C664" i="19"/>
  <c r="B664" i="19"/>
  <c r="C663" i="19"/>
  <c r="B663" i="19"/>
  <c r="C662" i="19"/>
  <c r="B662" i="19"/>
  <c r="C661" i="19"/>
  <c r="B661" i="19"/>
  <c r="C660" i="19"/>
  <c r="B660" i="19"/>
  <c r="C659" i="19"/>
  <c r="B659" i="19"/>
  <c r="C658" i="19"/>
  <c r="B658" i="19"/>
  <c r="C657" i="19"/>
  <c r="B657" i="19"/>
  <c r="C656" i="19"/>
  <c r="B656" i="19"/>
  <c r="C655" i="19"/>
  <c r="B655" i="19"/>
  <c r="C654" i="19"/>
  <c r="B654" i="19"/>
  <c r="C653" i="19"/>
  <c r="B653" i="19"/>
  <c r="C652" i="19"/>
  <c r="B652" i="19"/>
  <c r="C651" i="19"/>
  <c r="B651" i="19"/>
  <c r="C650" i="19"/>
  <c r="B650" i="19"/>
  <c r="C649" i="19"/>
  <c r="B649" i="19"/>
  <c r="C648" i="19"/>
  <c r="B648" i="19"/>
  <c r="C647" i="19"/>
  <c r="B647" i="19"/>
  <c r="C646" i="19"/>
  <c r="B646" i="19"/>
  <c r="C645" i="19"/>
  <c r="B645" i="19"/>
  <c r="C644" i="19"/>
  <c r="B644" i="19"/>
  <c r="C643" i="19"/>
  <c r="B643" i="19"/>
  <c r="C642" i="19"/>
  <c r="B642" i="19"/>
  <c r="C641" i="19"/>
  <c r="B641" i="19"/>
  <c r="C640" i="19"/>
  <c r="B640" i="19"/>
  <c r="C639" i="19"/>
  <c r="B639" i="19"/>
  <c r="C638" i="19"/>
  <c r="B638" i="19"/>
  <c r="C637" i="19"/>
  <c r="B637" i="19"/>
  <c r="C636" i="19"/>
  <c r="B636" i="19"/>
  <c r="C635" i="19"/>
  <c r="B635" i="19"/>
  <c r="C634" i="19"/>
  <c r="B634" i="19"/>
  <c r="C633" i="19"/>
  <c r="B633" i="19"/>
  <c r="C632" i="19"/>
  <c r="B632" i="19"/>
  <c r="C631" i="19"/>
  <c r="B631" i="19"/>
  <c r="C630" i="19"/>
  <c r="B630" i="19"/>
  <c r="C629" i="19"/>
  <c r="B629" i="19"/>
  <c r="C628" i="19"/>
  <c r="B628" i="19"/>
  <c r="C627" i="19"/>
  <c r="B627" i="19"/>
  <c r="C626" i="19"/>
  <c r="B626" i="19"/>
  <c r="C625" i="19"/>
  <c r="B625" i="19"/>
  <c r="C624" i="19"/>
  <c r="B624" i="19"/>
  <c r="C623" i="19"/>
  <c r="B623" i="19"/>
  <c r="C622" i="19"/>
  <c r="B622" i="19"/>
  <c r="C621" i="19"/>
  <c r="B621" i="19"/>
  <c r="C620" i="19"/>
  <c r="B620" i="19"/>
  <c r="C619" i="19"/>
  <c r="B619" i="19"/>
  <c r="C618" i="19"/>
  <c r="B618" i="19"/>
  <c r="C617" i="19"/>
  <c r="B617" i="19"/>
  <c r="C616" i="19"/>
  <c r="B616" i="19"/>
  <c r="C615" i="19"/>
  <c r="B615" i="19"/>
  <c r="C614" i="19"/>
  <c r="B614" i="19"/>
  <c r="C613" i="19"/>
  <c r="B613" i="19"/>
  <c r="C612" i="19"/>
  <c r="B612" i="19"/>
  <c r="C611" i="19"/>
  <c r="B611" i="19"/>
  <c r="C610" i="19"/>
  <c r="B610" i="19"/>
  <c r="C609" i="19"/>
  <c r="B609" i="19"/>
  <c r="C608" i="19"/>
  <c r="B608" i="19"/>
  <c r="C607" i="19"/>
  <c r="B607" i="19"/>
  <c r="C606" i="19"/>
  <c r="B606" i="19"/>
  <c r="C605" i="19"/>
  <c r="B605" i="19"/>
  <c r="C604" i="19"/>
  <c r="B604" i="19"/>
  <c r="C603" i="19"/>
  <c r="B603" i="19"/>
  <c r="C602" i="19"/>
  <c r="B602" i="19"/>
  <c r="C601" i="19"/>
  <c r="B601" i="19"/>
  <c r="C600" i="19"/>
  <c r="B600" i="19"/>
  <c r="C599" i="19"/>
  <c r="B599" i="19"/>
  <c r="C598" i="19"/>
  <c r="B598" i="19"/>
  <c r="C597" i="19"/>
  <c r="B597" i="19"/>
  <c r="C596" i="19"/>
  <c r="B596" i="19"/>
  <c r="C595" i="19"/>
  <c r="B595" i="19"/>
  <c r="C594" i="19"/>
  <c r="B594" i="19"/>
  <c r="C593" i="19"/>
  <c r="B593" i="19"/>
  <c r="C592" i="19"/>
  <c r="B592" i="19"/>
  <c r="C591" i="19"/>
  <c r="B591" i="19"/>
  <c r="C590" i="19"/>
  <c r="B590" i="19"/>
  <c r="C589" i="19"/>
  <c r="B589" i="19"/>
  <c r="C588" i="19"/>
  <c r="B588" i="19"/>
  <c r="C587" i="19"/>
  <c r="B587" i="19"/>
  <c r="C586" i="19"/>
  <c r="B586" i="19"/>
  <c r="C585" i="19"/>
  <c r="B585" i="19"/>
  <c r="C584" i="19"/>
  <c r="B584" i="19"/>
  <c r="C583" i="19"/>
  <c r="B583" i="19"/>
  <c r="C582" i="19"/>
  <c r="B582" i="19"/>
  <c r="C581" i="19"/>
  <c r="B581" i="19"/>
  <c r="C580" i="19"/>
  <c r="B580" i="19"/>
  <c r="C579" i="19"/>
  <c r="B579" i="19"/>
  <c r="C578" i="19"/>
  <c r="B578" i="19"/>
  <c r="C577" i="19"/>
  <c r="B577" i="19"/>
  <c r="C576" i="19"/>
  <c r="B576" i="19"/>
  <c r="C575" i="19"/>
  <c r="B575" i="19"/>
  <c r="C574" i="19"/>
  <c r="B574" i="19"/>
  <c r="C573" i="19"/>
  <c r="B573" i="19"/>
  <c r="C572" i="19"/>
  <c r="B572" i="19"/>
  <c r="C571" i="19"/>
  <c r="B571" i="19"/>
  <c r="C570" i="19"/>
  <c r="B570" i="19"/>
  <c r="C569" i="19"/>
  <c r="B569" i="19"/>
  <c r="C568" i="19"/>
  <c r="B568" i="19"/>
  <c r="C567" i="19"/>
  <c r="B567" i="19"/>
  <c r="C566" i="19"/>
  <c r="B566" i="19"/>
  <c r="C565" i="19"/>
  <c r="B565" i="19"/>
  <c r="C564" i="19"/>
  <c r="B564" i="19"/>
  <c r="C563" i="19"/>
  <c r="B563" i="19"/>
  <c r="C562" i="19"/>
  <c r="B562" i="19"/>
  <c r="C561" i="19"/>
  <c r="B561" i="19"/>
  <c r="C560" i="19"/>
  <c r="B560" i="19"/>
  <c r="C559" i="19"/>
  <c r="B559" i="19"/>
  <c r="C558" i="19"/>
  <c r="B558" i="19"/>
  <c r="C557" i="19"/>
  <c r="B557" i="19"/>
  <c r="C556" i="19"/>
  <c r="B556" i="19"/>
  <c r="C555" i="19"/>
  <c r="B555" i="19"/>
  <c r="C554" i="19"/>
  <c r="B554" i="19"/>
  <c r="C553" i="19"/>
  <c r="B553" i="19"/>
  <c r="C552" i="19"/>
  <c r="B552" i="19"/>
  <c r="C551" i="19"/>
  <c r="B551" i="19"/>
  <c r="C550" i="19"/>
  <c r="B550" i="19"/>
  <c r="C549" i="19"/>
  <c r="B549" i="19"/>
  <c r="C548" i="19"/>
  <c r="B548" i="19"/>
  <c r="C547" i="19"/>
  <c r="B547" i="19"/>
  <c r="C546" i="19"/>
  <c r="B546" i="19"/>
  <c r="C545" i="19"/>
  <c r="B545" i="19"/>
  <c r="C544" i="19"/>
  <c r="B544" i="19"/>
  <c r="C543" i="19"/>
  <c r="B543" i="19"/>
  <c r="C542" i="19"/>
  <c r="B542" i="19"/>
  <c r="C541" i="19"/>
  <c r="B541" i="19"/>
  <c r="C540" i="19"/>
  <c r="B540" i="19"/>
  <c r="C539" i="19"/>
  <c r="B539" i="19"/>
  <c r="C538" i="19"/>
  <c r="B538" i="19"/>
  <c r="C537" i="19"/>
  <c r="B537" i="19"/>
  <c r="C536" i="19"/>
  <c r="B536" i="19"/>
  <c r="C535" i="19"/>
  <c r="B535" i="19"/>
  <c r="C534" i="19"/>
  <c r="B534" i="19"/>
  <c r="C533" i="19"/>
  <c r="B533" i="19"/>
  <c r="C532" i="19"/>
  <c r="B532" i="19"/>
  <c r="C531" i="19"/>
  <c r="B531" i="19"/>
  <c r="C530" i="19"/>
  <c r="B530" i="19"/>
  <c r="C529" i="19"/>
  <c r="B529" i="19"/>
  <c r="C528" i="19"/>
  <c r="B528" i="19"/>
  <c r="C527" i="19"/>
  <c r="B527" i="19"/>
  <c r="C526" i="19"/>
  <c r="B526" i="19"/>
  <c r="C525" i="19"/>
  <c r="B525" i="19"/>
  <c r="C524" i="19"/>
  <c r="B524" i="19"/>
  <c r="C523" i="19"/>
  <c r="B523" i="19"/>
  <c r="C522" i="19"/>
  <c r="B522" i="19"/>
  <c r="C521" i="19"/>
  <c r="B521" i="19"/>
  <c r="C520" i="19"/>
  <c r="B520" i="19"/>
  <c r="C519" i="19"/>
  <c r="B519" i="19"/>
  <c r="C518" i="19"/>
  <c r="B518" i="19"/>
  <c r="C517" i="19"/>
  <c r="B517" i="19"/>
  <c r="C516" i="19"/>
  <c r="B516" i="19"/>
  <c r="C515" i="19"/>
  <c r="B515" i="19"/>
  <c r="C514" i="19"/>
  <c r="B514" i="19"/>
  <c r="C513" i="19"/>
  <c r="B513" i="19"/>
  <c r="C512" i="19"/>
  <c r="B512" i="19"/>
  <c r="C511" i="19"/>
  <c r="B511" i="19"/>
  <c r="C510" i="19"/>
  <c r="B510" i="19"/>
  <c r="C509" i="19"/>
  <c r="B509" i="19"/>
  <c r="C508" i="19"/>
  <c r="B508" i="19"/>
  <c r="C507" i="19"/>
  <c r="B507" i="19"/>
  <c r="C506" i="19"/>
  <c r="B506" i="19"/>
  <c r="C505" i="19"/>
  <c r="B505" i="19"/>
  <c r="C504" i="19"/>
  <c r="B504" i="19"/>
  <c r="C503" i="19"/>
  <c r="B503" i="19"/>
  <c r="C502" i="19"/>
  <c r="B502" i="19"/>
  <c r="C501" i="19"/>
  <c r="B501" i="19"/>
  <c r="C500" i="19"/>
  <c r="B500" i="19"/>
  <c r="C499" i="19"/>
  <c r="B499" i="19"/>
  <c r="C498" i="19"/>
  <c r="B498" i="19"/>
  <c r="C497" i="19"/>
  <c r="B497" i="19"/>
  <c r="C496" i="19"/>
  <c r="B496" i="19"/>
  <c r="C495" i="19"/>
  <c r="B495" i="19"/>
  <c r="C494" i="19"/>
  <c r="B494" i="19"/>
  <c r="C493" i="19"/>
  <c r="B493" i="19"/>
  <c r="C492" i="19"/>
  <c r="B492" i="19"/>
  <c r="C491" i="19"/>
  <c r="B491" i="19"/>
  <c r="C490" i="19"/>
  <c r="B490" i="19"/>
  <c r="C489" i="19"/>
  <c r="B489" i="19"/>
  <c r="C488" i="19"/>
  <c r="B488" i="19"/>
  <c r="C487" i="19"/>
  <c r="B487" i="19"/>
  <c r="C486" i="19"/>
  <c r="B486" i="19"/>
  <c r="C485" i="19"/>
  <c r="B485" i="19"/>
  <c r="C484" i="19"/>
  <c r="B484" i="19"/>
  <c r="C483" i="19"/>
  <c r="B483" i="19"/>
  <c r="C482" i="19"/>
  <c r="B482" i="19"/>
  <c r="C481" i="19"/>
  <c r="B481" i="19"/>
  <c r="C480" i="19"/>
  <c r="B480" i="19"/>
  <c r="C479" i="19"/>
  <c r="B479" i="19"/>
  <c r="C478" i="19"/>
  <c r="B478" i="19"/>
  <c r="C477" i="19"/>
  <c r="B477" i="19"/>
  <c r="C476" i="19"/>
  <c r="B476" i="19"/>
  <c r="C475" i="19"/>
  <c r="B475" i="19"/>
  <c r="C474" i="19"/>
  <c r="B474" i="19"/>
  <c r="C473" i="19"/>
  <c r="B473" i="19"/>
  <c r="C472" i="19"/>
  <c r="B472" i="19"/>
  <c r="C471" i="19"/>
  <c r="B471" i="19"/>
  <c r="C470" i="19"/>
  <c r="B470" i="19"/>
  <c r="C469" i="19"/>
  <c r="B469" i="19"/>
  <c r="C468" i="19"/>
  <c r="B468" i="19"/>
  <c r="C467" i="19"/>
  <c r="B467" i="19"/>
  <c r="C466" i="19"/>
  <c r="B466" i="19"/>
  <c r="C465" i="19"/>
  <c r="B465" i="19"/>
  <c r="C464" i="19"/>
  <c r="B464" i="19"/>
  <c r="C463" i="19"/>
  <c r="B463" i="19"/>
  <c r="C462" i="19"/>
  <c r="B462" i="19"/>
  <c r="C461" i="19"/>
  <c r="B461" i="19"/>
  <c r="C460" i="19"/>
  <c r="B460" i="19"/>
  <c r="C459" i="19"/>
  <c r="B459" i="19"/>
  <c r="C458" i="19"/>
  <c r="B458" i="19"/>
  <c r="C457" i="19"/>
  <c r="B457" i="19"/>
  <c r="C456" i="19"/>
  <c r="B456" i="19"/>
  <c r="C455" i="19"/>
  <c r="B455" i="19"/>
  <c r="C454" i="19"/>
  <c r="B454" i="19"/>
  <c r="C453" i="19"/>
  <c r="B453" i="19"/>
  <c r="C452" i="19"/>
  <c r="B452" i="19"/>
  <c r="C451" i="19"/>
  <c r="B451" i="19"/>
  <c r="C450" i="19"/>
  <c r="B450" i="19"/>
  <c r="C449" i="19"/>
  <c r="B449" i="19"/>
  <c r="C448" i="19"/>
  <c r="B448" i="19"/>
  <c r="C447" i="19"/>
  <c r="B447" i="19"/>
  <c r="C446" i="19"/>
  <c r="B446" i="19"/>
  <c r="C445" i="19"/>
  <c r="B445" i="19"/>
  <c r="C444" i="19"/>
  <c r="B444" i="19"/>
  <c r="C443" i="19"/>
  <c r="B443" i="19"/>
  <c r="C442" i="19"/>
  <c r="B442" i="19"/>
  <c r="C441" i="19"/>
  <c r="B441" i="19"/>
  <c r="C440" i="19"/>
  <c r="B440" i="19"/>
  <c r="C439" i="19"/>
  <c r="B439" i="19"/>
  <c r="C438" i="19"/>
  <c r="B438" i="19"/>
  <c r="C437" i="19"/>
  <c r="B437" i="19"/>
  <c r="C436" i="19"/>
  <c r="B436" i="19"/>
  <c r="C435" i="19"/>
  <c r="B435" i="19"/>
  <c r="C434" i="19"/>
  <c r="B434" i="19"/>
  <c r="C433" i="19"/>
  <c r="B433" i="19"/>
  <c r="C432" i="19"/>
  <c r="B432" i="19"/>
  <c r="C431" i="19"/>
  <c r="B431" i="19"/>
  <c r="C430" i="19"/>
  <c r="B430" i="19"/>
  <c r="C429" i="19"/>
  <c r="B429" i="19"/>
  <c r="C428" i="19"/>
  <c r="B428" i="19"/>
  <c r="C427" i="19"/>
  <c r="B427" i="19"/>
  <c r="C426" i="19"/>
  <c r="B426" i="19"/>
  <c r="C425" i="19"/>
  <c r="B425" i="19"/>
  <c r="C424" i="19"/>
  <c r="B424" i="19"/>
  <c r="C423" i="19"/>
  <c r="B423" i="19"/>
  <c r="C422" i="19"/>
  <c r="B422" i="19"/>
  <c r="C421" i="19"/>
  <c r="B421" i="19"/>
  <c r="C420" i="19"/>
  <c r="B420" i="19"/>
  <c r="C419" i="19"/>
  <c r="B419" i="19"/>
  <c r="C418" i="19"/>
  <c r="B418" i="19"/>
  <c r="C417" i="19"/>
  <c r="B417" i="19"/>
  <c r="C416" i="19"/>
  <c r="B416" i="19"/>
  <c r="C415" i="19"/>
  <c r="B415" i="19"/>
  <c r="C414" i="19"/>
  <c r="B414" i="19"/>
  <c r="C413" i="19"/>
  <c r="B413" i="19"/>
  <c r="C412" i="19"/>
  <c r="B412" i="19"/>
  <c r="C411" i="19"/>
  <c r="B411" i="19"/>
  <c r="C410" i="19"/>
  <c r="B410" i="19"/>
  <c r="C409" i="19"/>
  <c r="B409" i="19"/>
  <c r="C408" i="19"/>
  <c r="B408" i="19"/>
  <c r="C407" i="19"/>
  <c r="B407" i="19"/>
  <c r="C406" i="19"/>
  <c r="B406" i="19"/>
  <c r="C405" i="19"/>
  <c r="B405" i="19"/>
  <c r="C404" i="19"/>
  <c r="B404" i="19"/>
  <c r="C403" i="19"/>
  <c r="B403" i="19"/>
  <c r="C402" i="19"/>
  <c r="B402" i="19"/>
  <c r="C401" i="19"/>
  <c r="B401" i="19"/>
  <c r="C400" i="19"/>
  <c r="B400" i="19"/>
  <c r="C399" i="19"/>
  <c r="B399" i="19"/>
  <c r="C398" i="19"/>
  <c r="B398" i="19"/>
  <c r="C397" i="19"/>
  <c r="B397" i="19"/>
  <c r="C396" i="19"/>
  <c r="B396" i="19"/>
  <c r="C395" i="19"/>
  <c r="B395" i="19"/>
  <c r="C394" i="19"/>
  <c r="B394" i="19"/>
  <c r="C393" i="19"/>
  <c r="B393" i="19"/>
  <c r="C392" i="19"/>
  <c r="B392" i="19"/>
  <c r="C391" i="19"/>
  <c r="B391" i="19"/>
  <c r="C390" i="19"/>
  <c r="B390" i="19"/>
  <c r="C389" i="19"/>
  <c r="B389" i="19"/>
  <c r="C388" i="19"/>
  <c r="B388" i="19"/>
  <c r="C387" i="19"/>
  <c r="B387" i="19"/>
  <c r="C386" i="19"/>
  <c r="B386" i="19"/>
  <c r="C385" i="19"/>
  <c r="B385" i="19"/>
  <c r="C384" i="19"/>
  <c r="B384" i="19"/>
  <c r="C383" i="19"/>
  <c r="B383" i="19"/>
  <c r="C382" i="19"/>
  <c r="B382" i="19"/>
  <c r="C381" i="19"/>
  <c r="B381" i="19"/>
  <c r="C380" i="19"/>
  <c r="B380" i="19"/>
  <c r="C379" i="19"/>
  <c r="B379" i="19"/>
  <c r="C378" i="19"/>
  <c r="B378" i="19"/>
  <c r="C377" i="19"/>
  <c r="B377" i="19"/>
  <c r="C376" i="19"/>
  <c r="B376" i="19"/>
  <c r="C375" i="19"/>
  <c r="B375" i="19"/>
  <c r="C374" i="19"/>
  <c r="B374" i="19"/>
  <c r="C373" i="19"/>
  <c r="B373" i="19"/>
  <c r="C372" i="19"/>
  <c r="B372" i="19"/>
  <c r="C371" i="19"/>
  <c r="B371" i="19"/>
  <c r="C370" i="19"/>
  <c r="B370" i="19"/>
  <c r="C369" i="19"/>
  <c r="B369" i="19"/>
  <c r="C368" i="19"/>
  <c r="B368" i="19"/>
  <c r="C367" i="19"/>
  <c r="B367" i="19"/>
  <c r="C366" i="19"/>
  <c r="B366" i="19"/>
  <c r="C365" i="19"/>
  <c r="B365" i="19"/>
  <c r="C364" i="19"/>
  <c r="B364" i="19"/>
  <c r="C363" i="19"/>
  <c r="B363" i="19"/>
  <c r="C362" i="19"/>
  <c r="B362" i="19"/>
  <c r="C361" i="19"/>
  <c r="B361" i="19"/>
  <c r="C360" i="19"/>
  <c r="B360" i="19"/>
  <c r="C359" i="19"/>
  <c r="B359" i="19"/>
  <c r="C358" i="19"/>
  <c r="B358" i="19"/>
  <c r="C357" i="19"/>
  <c r="B357" i="19"/>
  <c r="C356" i="19"/>
  <c r="B356" i="19"/>
  <c r="C355" i="19"/>
  <c r="B355" i="19"/>
  <c r="C354" i="19"/>
  <c r="B354" i="19"/>
  <c r="C353" i="19"/>
  <c r="B353" i="19"/>
  <c r="C352" i="19"/>
  <c r="B352" i="19"/>
  <c r="C351" i="19"/>
  <c r="B351" i="19"/>
  <c r="C350" i="19"/>
  <c r="B350" i="19"/>
  <c r="C349" i="19"/>
  <c r="B349" i="19"/>
  <c r="C348" i="19"/>
  <c r="B348" i="19"/>
  <c r="C347" i="19"/>
  <c r="B347" i="19"/>
  <c r="C346" i="19"/>
  <c r="B346" i="19"/>
  <c r="C345" i="19"/>
  <c r="B345" i="19"/>
  <c r="C344" i="19"/>
  <c r="B344" i="19"/>
  <c r="C343" i="19"/>
  <c r="B343" i="19"/>
  <c r="C342" i="19"/>
  <c r="B342" i="19"/>
  <c r="C341" i="19"/>
  <c r="B341" i="19"/>
  <c r="C340" i="19"/>
  <c r="B340" i="19"/>
  <c r="C339" i="19"/>
  <c r="B339" i="19"/>
  <c r="C338" i="19"/>
  <c r="B338" i="19"/>
  <c r="C337" i="19"/>
  <c r="B337" i="19"/>
  <c r="C336" i="19"/>
  <c r="B336" i="19"/>
  <c r="C335" i="19"/>
  <c r="B335" i="19"/>
  <c r="C334" i="19"/>
  <c r="B334" i="19"/>
  <c r="C333" i="19"/>
  <c r="B333" i="19"/>
  <c r="C332" i="19"/>
  <c r="B332" i="19"/>
  <c r="C331" i="19"/>
  <c r="B331" i="19"/>
  <c r="C330" i="19"/>
  <c r="B330" i="19"/>
  <c r="C329" i="19"/>
  <c r="B329" i="19"/>
  <c r="C328" i="19"/>
  <c r="B328" i="19"/>
  <c r="C327" i="19"/>
  <c r="B327" i="19"/>
  <c r="C326" i="19"/>
  <c r="B326" i="19"/>
  <c r="C325" i="19"/>
  <c r="B325" i="19"/>
  <c r="C324" i="19"/>
  <c r="B324" i="19"/>
  <c r="C323" i="19"/>
  <c r="B323" i="19"/>
  <c r="C322" i="19"/>
  <c r="B322" i="19"/>
  <c r="C321" i="19"/>
  <c r="B321" i="19"/>
  <c r="C320" i="19"/>
  <c r="B320" i="19"/>
  <c r="C319" i="19"/>
  <c r="B319" i="19"/>
  <c r="C318" i="19"/>
  <c r="B318" i="19"/>
  <c r="C317" i="19"/>
  <c r="B317" i="19"/>
  <c r="C316" i="19"/>
  <c r="B316" i="19"/>
  <c r="C315" i="19"/>
  <c r="B315" i="19"/>
  <c r="C314" i="19"/>
  <c r="B314" i="19"/>
  <c r="C313" i="19"/>
  <c r="B313" i="19"/>
  <c r="C312" i="19"/>
  <c r="B312" i="19"/>
  <c r="C311" i="19"/>
  <c r="B311" i="19"/>
  <c r="C310" i="19"/>
  <c r="B310" i="19"/>
  <c r="C309" i="19"/>
  <c r="B309" i="19"/>
  <c r="C308" i="19"/>
  <c r="B308" i="19"/>
  <c r="C307" i="19"/>
  <c r="B307" i="19"/>
  <c r="C306" i="19"/>
  <c r="B306" i="19"/>
  <c r="C305" i="19"/>
  <c r="B305" i="19"/>
  <c r="C304" i="19"/>
  <c r="B304" i="19"/>
  <c r="C303" i="19"/>
  <c r="B303" i="19"/>
  <c r="C302" i="19"/>
  <c r="B302" i="19"/>
  <c r="C301" i="19"/>
  <c r="B301" i="19"/>
  <c r="C300" i="19"/>
  <c r="B300" i="19"/>
  <c r="C299" i="19"/>
  <c r="B299" i="19"/>
  <c r="C298" i="19"/>
  <c r="B298" i="19"/>
  <c r="C297" i="19"/>
  <c r="B297" i="19"/>
  <c r="C296" i="19"/>
  <c r="B296" i="19"/>
  <c r="C295" i="19"/>
  <c r="B295" i="19"/>
  <c r="C294" i="19"/>
  <c r="B294" i="19"/>
  <c r="C293" i="19"/>
  <c r="B293" i="19"/>
  <c r="C292" i="19"/>
  <c r="B292" i="19"/>
  <c r="C291" i="19"/>
  <c r="B291" i="19"/>
  <c r="C290" i="19"/>
  <c r="B290" i="19"/>
  <c r="C289" i="19"/>
  <c r="B289" i="19"/>
  <c r="C288" i="19"/>
  <c r="B288" i="19"/>
  <c r="C287" i="19"/>
  <c r="B287" i="19"/>
  <c r="C286" i="19"/>
  <c r="B286" i="19"/>
  <c r="C285" i="19"/>
  <c r="B285" i="19"/>
  <c r="C284" i="19"/>
  <c r="B284" i="19"/>
  <c r="C283" i="19"/>
  <c r="B283" i="19"/>
  <c r="C282" i="19"/>
  <c r="B282" i="19"/>
  <c r="C281" i="19"/>
  <c r="B281" i="19"/>
  <c r="C280" i="19"/>
  <c r="B280" i="19"/>
  <c r="C279" i="19"/>
  <c r="B279" i="19"/>
  <c r="C278" i="19"/>
  <c r="B278" i="19"/>
  <c r="C277" i="19"/>
  <c r="B277" i="19"/>
  <c r="C276" i="19"/>
  <c r="B276" i="19"/>
  <c r="C275" i="19"/>
  <c r="B275" i="19"/>
  <c r="C274" i="19"/>
  <c r="B274" i="19"/>
  <c r="C273" i="19"/>
  <c r="B273" i="19"/>
  <c r="C272" i="19"/>
  <c r="B272" i="19"/>
  <c r="C271" i="19"/>
  <c r="B271" i="19"/>
  <c r="C270" i="19"/>
  <c r="B270" i="19"/>
  <c r="C269" i="19"/>
  <c r="B269" i="19"/>
  <c r="C268" i="19"/>
  <c r="B268" i="19"/>
  <c r="C267" i="19"/>
  <c r="B267" i="19"/>
  <c r="C266" i="19"/>
  <c r="B266" i="19"/>
  <c r="C265" i="19"/>
  <c r="B265" i="19"/>
  <c r="C264" i="19"/>
  <c r="B264" i="19"/>
  <c r="C263" i="19"/>
  <c r="B263" i="19"/>
  <c r="C262" i="19"/>
  <c r="B262" i="19"/>
  <c r="C261" i="19"/>
  <c r="B261" i="19"/>
  <c r="C260" i="19"/>
  <c r="B260" i="19"/>
  <c r="C259" i="19"/>
  <c r="B259" i="19"/>
  <c r="C258" i="19"/>
  <c r="B258" i="19"/>
  <c r="C257" i="19"/>
  <c r="B257" i="19"/>
  <c r="C256" i="19"/>
  <c r="B256" i="19"/>
  <c r="C255" i="19"/>
  <c r="B255" i="19"/>
  <c r="C254" i="19"/>
  <c r="B254" i="19"/>
  <c r="C253" i="19"/>
  <c r="B253" i="19"/>
  <c r="C252" i="19"/>
  <c r="B252" i="19"/>
  <c r="C251" i="19"/>
  <c r="B251" i="19"/>
  <c r="C250" i="19"/>
  <c r="B250" i="19"/>
  <c r="C249" i="19"/>
  <c r="B249" i="19"/>
  <c r="C248" i="19"/>
  <c r="B248" i="19"/>
  <c r="C247" i="19"/>
  <c r="B247" i="19"/>
  <c r="C246" i="19"/>
  <c r="B246" i="19"/>
  <c r="C245" i="19"/>
  <c r="B245" i="19"/>
  <c r="C244" i="19"/>
  <c r="B244" i="19"/>
  <c r="C243" i="19"/>
  <c r="B243" i="19"/>
  <c r="C242" i="19"/>
  <c r="B242" i="19"/>
  <c r="C241" i="19"/>
  <c r="B241" i="19"/>
  <c r="C240" i="19"/>
  <c r="B240" i="19"/>
  <c r="C239" i="19"/>
  <c r="B239" i="19"/>
  <c r="C238" i="19"/>
  <c r="B238" i="19"/>
  <c r="C237" i="19"/>
  <c r="B237" i="19"/>
  <c r="C236" i="19"/>
  <c r="B236" i="19"/>
  <c r="C235" i="19"/>
  <c r="B235" i="19"/>
  <c r="C234" i="19"/>
  <c r="B234" i="19"/>
  <c r="C233" i="19"/>
  <c r="B233" i="19"/>
  <c r="C232" i="19"/>
  <c r="B232" i="19"/>
  <c r="C231" i="19"/>
  <c r="B231" i="19"/>
  <c r="C230" i="19"/>
  <c r="B230" i="19"/>
  <c r="C229" i="19"/>
  <c r="B229" i="19"/>
  <c r="C228" i="19"/>
  <c r="B228" i="19"/>
  <c r="C227" i="19"/>
  <c r="B227" i="19"/>
  <c r="C226" i="19"/>
  <c r="B226" i="19"/>
  <c r="C225" i="19"/>
  <c r="B225" i="19"/>
  <c r="C224" i="19"/>
  <c r="B224" i="19"/>
  <c r="C223" i="19"/>
  <c r="B223" i="19"/>
  <c r="C222" i="19"/>
  <c r="B222" i="19"/>
  <c r="C221" i="19"/>
  <c r="B221" i="19"/>
  <c r="C220" i="19"/>
  <c r="B220" i="19"/>
  <c r="C219" i="19"/>
  <c r="B219" i="19"/>
  <c r="C218" i="19"/>
  <c r="B218" i="19"/>
  <c r="C217" i="19"/>
  <c r="B217" i="19"/>
  <c r="C216" i="19"/>
  <c r="B216" i="19"/>
  <c r="C215" i="19"/>
  <c r="B215" i="19"/>
  <c r="C214" i="19"/>
  <c r="B214" i="19"/>
  <c r="C213" i="19"/>
  <c r="B213" i="19"/>
  <c r="C212" i="19"/>
  <c r="B212" i="19"/>
  <c r="C211" i="19"/>
  <c r="B211" i="19"/>
  <c r="C210" i="19"/>
  <c r="B210" i="19"/>
  <c r="C209" i="19"/>
  <c r="B209" i="19"/>
  <c r="C208" i="19"/>
  <c r="B208" i="19"/>
  <c r="C207" i="19"/>
  <c r="B207" i="19"/>
  <c r="C206" i="19"/>
  <c r="B206" i="19"/>
  <c r="C205" i="19"/>
  <c r="B205" i="19"/>
  <c r="C204" i="19"/>
  <c r="B204" i="19"/>
  <c r="C203" i="19"/>
  <c r="B203" i="19"/>
  <c r="C202" i="19"/>
  <c r="B202" i="19"/>
  <c r="C201" i="19"/>
  <c r="B201" i="19"/>
  <c r="C200" i="19"/>
  <c r="B200" i="19"/>
  <c r="C199" i="19"/>
  <c r="B199" i="19"/>
  <c r="C198" i="19"/>
  <c r="B198" i="19"/>
  <c r="C197" i="19"/>
  <c r="B197" i="19"/>
  <c r="C196" i="19"/>
  <c r="B196" i="19"/>
  <c r="C195" i="19"/>
  <c r="B195" i="19"/>
  <c r="C194" i="19"/>
  <c r="B194" i="19"/>
  <c r="C193" i="19"/>
  <c r="B193" i="19"/>
  <c r="C192" i="19"/>
  <c r="B192" i="19"/>
  <c r="C191" i="19"/>
  <c r="B191" i="19"/>
  <c r="C190" i="19"/>
  <c r="B190" i="19"/>
  <c r="C189" i="19"/>
  <c r="B189" i="19"/>
  <c r="C188" i="19"/>
  <c r="B188" i="19"/>
  <c r="C187" i="19"/>
  <c r="B187" i="19"/>
  <c r="C186" i="19"/>
  <c r="B186" i="19"/>
  <c r="C185" i="19"/>
  <c r="B185" i="19"/>
  <c r="C184" i="19"/>
  <c r="B184" i="19"/>
  <c r="C183" i="19"/>
  <c r="B183" i="19"/>
  <c r="C182" i="19"/>
  <c r="B182" i="19"/>
  <c r="C181" i="19"/>
  <c r="B181" i="19"/>
  <c r="C180" i="19"/>
  <c r="B180" i="19"/>
  <c r="C179" i="19"/>
  <c r="B179" i="19"/>
  <c r="C178" i="19"/>
  <c r="B178" i="19"/>
  <c r="C177" i="19"/>
  <c r="B177" i="19"/>
  <c r="C176" i="19"/>
  <c r="B176" i="19"/>
  <c r="C175" i="19"/>
  <c r="B175" i="19"/>
  <c r="C174" i="19"/>
  <c r="B174" i="19"/>
  <c r="C173" i="19"/>
  <c r="B173" i="19"/>
  <c r="C172" i="19"/>
  <c r="B172" i="19"/>
  <c r="C171" i="19"/>
  <c r="B171" i="19"/>
  <c r="C170" i="19"/>
  <c r="B170" i="19"/>
  <c r="C169" i="19"/>
  <c r="B169" i="19"/>
  <c r="C168" i="19"/>
  <c r="B168" i="19"/>
  <c r="C167" i="19"/>
  <c r="B167" i="19"/>
  <c r="C166" i="19"/>
  <c r="B166" i="19"/>
  <c r="C165" i="19"/>
  <c r="B165" i="19"/>
  <c r="C164" i="19"/>
  <c r="B164" i="19"/>
  <c r="C163" i="19"/>
  <c r="B163" i="19"/>
  <c r="C162" i="19"/>
  <c r="B162" i="19"/>
  <c r="C161" i="19"/>
  <c r="B161" i="19"/>
  <c r="C160" i="19"/>
  <c r="B160" i="19"/>
  <c r="C159" i="19"/>
  <c r="B159" i="19"/>
  <c r="C158" i="19"/>
  <c r="B158" i="19"/>
  <c r="C157" i="19"/>
  <c r="B157" i="19"/>
  <c r="C156" i="19"/>
  <c r="B156" i="19"/>
  <c r="C155" i="19"/>
  <c r="B155" i="19"/>
  <c r="C154" i="19"/>
  <c r="B154" i="19"/>
  <c r="C153" i="19"/>
  <c r="B153" i="19"/>
  <c r="C152" i="19"/>
  <c r="B152" i="19"/>
  <c r="C151" i="19"/>
  <c r="B151" i="19"/>
  <c r="C150" i="19"/>
  <c r="B150" i="19"/>
  <c r="C149" i="19"/>
  <c r="B149" i="19"/>
  <c r="C148" i="19"/>
  <c r="B148" i="19"/>
  <c r="C147" i="19"/>
  <c r="B147" i="19"/>
  <c r="C146" i="19"/>
  <c r="B146" i="19"/>
  <c r="C145" i="19"/>
  <c r="B145" i="19"/>
  <c r="C144" i="19"/>
  <c r="B144" i="19"/>
  <c r="C143" i="19"/>
  <c r="B143" i="19"/>
  <c r="C142" i="19"/>
  <c r="B142" i="19"/>
  <c r="C141" i="19"/>
  <c r="B141" i="19"/>
  <c r="C140" i="19"/>
  <c r="B140" i="19"/>
  <c r="C139" i="19"/>
  <c r="B139" i="19"/>
  <c r="C138" i="19"/>
  <c r="B138" i="19"/>
  <c r="C137" i="19"/>
  <c r="B137" i="19"/>
  <c r="C136" i="19"/>
  <c r="B136" i="19"/>
  <c r="C135" i="19"/>
  <c r="B135" i="19"/>
  <c r="C134" i="19"/>
  <c r="B134" i="19"/>
  <c r="C133" i="19"/>
  <c r="B133" i="19"/>
  <c r="C132" i="19"/>
  <c r="B132" i="19"/>
  <c r="C131" i="19"/>
  <c r="B131" i="19"/>
  <c r="C130" i="19"/>
  <c r="B130" i="19"/>
  <c r="C129" i="19"/>
  <c r="B129" i="19"/>
  <c r="C128" i="19"/>
  <c r="B128" i="19"/>
  <c r="C127" i="19"/>
  <c r="B127" i="19"/>
  <c r="C126" i="19"/>
  <c r="B126" i="19"/>
  <c r="C125" i="19"/>
  <c r="B125" i="19"/>
  <c r="C124" i="19"/>
  <c r="B124" i="19"/>
  <c r="C123" i="19"/>
  <c r="B123" i="19"/>
  <c r="C122" i="19"/>
  <c r="B122" i="19"/>
  <c r="C121" i="19"/>
  <c r="B121" i="19"/>
  <c r="C120" i="19"/>
  <c r="B120" i="19"/>
  <c r="C119" i="19"/>
  <c r="B119" i="19"/>
  <c r="C118" i="19"/>
  <c r="B118" i="19"/>
  <c r="C117" i="19"/>
  <c r="B117" i="19"/>
  <c r="C116" i="19"/>
  <c r="B116" i="19"/>
  <c r="C115" i="19"/>
  <c r="B115" i="19"/>
  <c r="C114" i="19"/>
  <c r="B114" i="19"/>
  <c r="C113" i="19"/>
  <c r="B113" i="19"/>
  <c r="C112" i="19"/>
  <c r="B112" i="19"/>
  <c r="C111" i="19"/>
  <c r="B111" i="19"/>
  <c r="C110" i="19"/>
  <c r="B110" i="19"/>
  <c r="C109" i="19"/>
  <c r="B109" i="19"/>
  <c r="C108" i="19"/>
  <c r="B108" i="19"/>
  <c r="C107" i="19"/>
  <c r="B107" i="19"/>
  <c r="C106" i="19"/>
  <c r="B106" i="19"/>
  <c r="C105" i="19"/>
  <c r="B105" i="19"/>
  <c r="C104" i="19"/>
  <c r="B104" i="19"/>
  <c r="C103" i="19"/>
  <c r="B103" i="19"/>
  <c r="C102" i="19"/>
  <c r="B102" i="19"/>
  <c r="C101" i="19"/>
  <c r="B101" i="19"/>
  <c r="C100" i="19"/>
  <c r="B100" i="19"/>
  <c r="C99" i="19"/>
  <c r="B99" i="19"/>
  <c r="C98" i="19"/>
  <c r="B98" i="19"/>
  <c r="C97" i="19"/>
  <c r="B97" i="19"/>
  <c r="C96" i="19"/>
  <c r="B96" i="19"/>
  <c r="C95" i="19"/>
  <c r="B95" i="19"/>
  <c r="C94" i="19"/>
  <c r="B94" i="19"/>
  <c r="C93" i="19"/>
  <c r="B93" i="19"/>
  <c r="C92" i="19"/>
  <c r="B92" i="19"/>
  <c r="C91" i="19"/>
  <c r="B91" i="19"/>
  <c r="C90" i="19"/>
  <c r="B90" i="19"/>
  <c r="C89" i="19"/>
  <c r="B89" i="19"/>
  <c r="C88" i="19"/>
  <c r="B88" i="19"/>
  <c r="C87" i="19"/>
  <c r="B87" i="19"/>
  <c r="C86" i="19"/>
  <c r="B86" i="19"/>
  <c r="C85" i="19"/>
  <c r="B85" i="19"/>
  <c r="C84" i="19"/>
  <c r="B84" i="19"/>
  <c r="C83" i="19"/>
  <c r="B83" i="19"/>
  <c r="C82" i="19"/>
  <c r="B82" i="19"/>
  <c r="C81" i="19"/>
  <c r="B81" i="19"/>
  <c r="C80" i="19"/>
  <c r="B80" i="19"/>
  <c r="C79" i="19"/>
  <c r="B79" i="19"/>
  <c r="C78" i="19"/>
  <c r="B78" i="19"/>
  <c r="C77" i="19"/>
  <c r="B77" i="19"/>
  <c r="C76" i="19"/>
  <c r="B76" i="19"/>
  <c r="C75" i="19"/>
  <c r="B75" i="19"/>
  <c r="C74" i="19"/>
  <c r="B74" i="19"/>
  <c r="C73" i="19"/>
  <c r="B73" i="19"/>
  <c r="C72" i="19"/>
  <c r="B72" i="19"/>
  <c r="C71" i="19"/>
  <c r="B71" i="19"/>
  <c r="C70" i="19"/>
  <c r="B70" i="19"/>
  <c r="C69" i="19"/>
  <c r="B69" i="19"/>
  <c r="C68" i="19"/>
  <c r="B68" i="19"/>
  <c r="C67" i="19"/>
  <c r="B67" i="19"/>
  <c r="C66" i="19"/>
  <c r="B66" i="19"/>
  <c r="C65" i="19"/>
  <c r="B65" i="19"/>
  <c r="C64" i="19"/>
  <c r="B64" i="19"/>
  <c r="C63" i="19"/>
  <c r="B63" i="19"/>
  <c r="C62" i="19"/>
  <c r="B62" i="19"/>
  <c r="C61" i="19"/>
  <c r="B61" i="19"/>
  <c r="C60" i="19"/>
  <c r="B60" i="19"/>
  <c r="C59" i="19"/>
  <c r="B59" i="19"/>
  <c r="C58" i="19"/>
  <c r="B58" i="19"/>
  <c r="C57" i="19"/>
  <c r="B57" i="19"/>
  <c r="C56" i="19"/>
  <c r="B56" i="19"/>
  <c r="C55" i="19"/>
  <c r="B55" i="19"/>
  <c r="C54" i="19"/>
  <c r="B54" i="19"/>
  <c r="C53" i="19"/>
  <c r="B53" i="19"/>
  <c r="C52" i="19"/>
  <c r="B52" i="19"/>
  <c r="C51" i="19"/>
  <c r="B51" i="19"/>
  <c r="C50" i="19"/>
  <c r="B50" i="19"/>
  <c r="C49" i="19"/>
  <c r="B49" i="19"/>
  <c r="C48" i="19"/>
  <c r="B48" i="19"/>
  <c r="C47" i="19"/>
  <c r="B47" i="19"/>
  <c r="C46" i="19"/>
  <c r="B46" i="19"/>
  <c r="C45" i="19"/>
  <c r="B45" i="19"/>
  <c r="C44" i="19"/>
  <c r="B44" i="19"/>
  <c r="C43" i="19"/>
  <c r="B43" i="19"/>
  <c r="C42" i="19"/>
  <c r="B42" i="19"/>
  <c r="C41" i="19"/>
  <c r="B41" i="19"/>
  <c r="C40" i="19"/>
  <c r="B40" i="19"/>
  <c r="C39" i="19"/>
  <c r="B39" i="19"/>
  <c r="C38" i="19"/>
  <c r="B38" i="19"/>
  <c r="C37" i="19"/>
  <c r="B37" i="19"/>
  <c r="C36" i="19"/>
  <c r="B36" i="19"/>
  <c r="C35" i="19"/>
  <c r="B35" i="19"/>
  <c r="C34" i="19"/>
  <c r="B34" i="19"/>
  <c r="C33" i="19"/>
  <c r="B33" i="19"/>
  <c r="C32" i="19"/>
  <c r="B32" i="19"/>
  <c r="C31" i="19"/>
  <c r="B31" i="19"/>
  <c r="C30" i="19"/>
  <c r="B30" i="19"/>
  <c r="C29" i="19"/>
  <c r="B29" i="19"/>
  <c r="C28" i="19"/>
  <c r="B28" i="19"/>
  <c r="C27" i="19"/>
  <c r="B27" i="19"/>
  <c r="C26" i="19"/>
  <c r="B26" i="19"/>
  <c r="C25" i="19"/>
  <c r="B25" i="19"/>
  <c r="C24" i="19"/>
  <c r="B24" i="19"/>
  <c r="C23" i="19"/>
  <c r="B23" i="19"/>
  <c r="C22" i="19"/>
  <c r="B22" i="19"/>
  <c r="C21" i="19"/>
  <c r="B21" i="19"/>
  <c r="C20" i="19"/>
  <c r="B20" i="19"/>
  <c r="C19" i="19"/>
  <c r="B19" i="19"/>
  <c r="C18" i="19"/>
  <c r="B18" i="19"/>
  <c r="C17" i="19"/>
  <c r="B17" i="19"/>
  <c r="C16" i="19"/>
  <c r="B16" i="19"/>
  <c r="C15" i="19"/>
  <c r="B15" i="19"/>
  <c r="C14" i="19"/>
  <c r="B14" i="19"/>
  <c r="C13" i="19"/>
  <c r="B13" i="19"/>
  <c r="C12" i="19"/>
  <c r="B12" i="19"/>
  <c r="C11" i="19"/>
  <c r="B11" i="19"/>
  <c r="C10" i="19"/>
  <c r="B10" i="19"/>
  <c r="C9" i="19"/>
  <c r="B9" i="19"/>
  <c r="C8" i="19"/>
  <c r="B8" i="19"/>
  <c r="C7" i="19"/>
  <c r="B7" i="19"/>
  <c r="C6" i="19"/>
  <c r="B6" i="19"/>
  <c r="C5" i="19"/>
  <c r="B5" i="19"/>
  <c r="C4" i="19"/>
  <c r="B4" i="19"/>
  <c r="C3" i="19"/>
  <c r="B3" i="19"/>
  <c r="C2" i="19"/>
  <c r="B2" i="19"/>
  <c r="A3" i="13"/>
  <c r="A3" i="12"/>
  <c r="A3" i="11"/>
  <c r="A3" i="10"/>
  <c r="A3" i="9"/>
  <c r="A3" i="8"/>
  <c r="A3" i="7"/>
  <c r="C3" i="2" l="1"/>
</calcChain>
</file>

<file path=xl/sharedStrings.xml><?xml version="1.0" encoding="utf-8"?>
<sst xmlns="http://schemas.openxmlformats.org/spreadsheetml/2006/main" count="42148" uniqueCount="14959">
  <si>
    <t># Not Seek</t>
  </si>
  <si>
    <t># No Info</t>
  </si>
  <si>
    <t>Salary Mean</t>
  </si>
  <si>
    <t>Salary Median</t>
  </si>
  <si>
    <t>Bonus Mean</t>
  </si>
  <si>
    <t>Bonus Median</t>
  </si>
  <si>
    <t># of Salaries</t>
  </si>
  <si>
    <t>% of Salaries</t>
  </si>
  <si>
    <t># of Bonuses</t>
  </si>
  <si>
    <t>Column Name</t>
  </si>
  <si>
    <t>Description</t>
  </si>
  <si>
    <t># Not Seeking</t>
  </si>
  <si>
    <t>The number of graduates not seeking employment or continuing education</t>
  </si>
  <si>
    <t># Service</t>
  </si>
  <si>
    <t>The number of graduates serving full-time in military service</t>
  </si>
  <si>
    <t>The number of graduates for whom no information is available</t>
  </si>
  <si>
    <t>Salary Low</t>
  </si>
  <si>
    <t>Salary High</t>
  </si>
  <si>
    <t>Bonus Low</t>
  </si>
  <si>
    <t>Bonus High</t>
  </si>
  <si>
    <t>The total number of know full-time annual salaries</t>
  </si>
  <si>
    <t>The percent of full-time employed graduates for whom the annual salary is known</t>
  </si>
  <si>
    <t>Average Salary of full-time employed graduates receiving a salary</t>
  </si>
  <si>
    <t>The midpoint in the range of full-time salaries (50th percentile of the salary range)</t>
  </si>
  <si>
    <t>Average Bonus of full-time employed graduates receiving a bonus</t>
  </si>
  <si>
    <t>The midpoint in the range of guaranteed bonuses (50th percentile of the bonus range)</t>
  </si>
  <si>
    <t># Entrepreneur FT</t>
  </si>
  <si>
    <t># Entrepreneur PT</t>
  </si>
  <si>
    <t xml:space="preserve"># Service </t>
  </si>
  <si>
    <t>Total Number Graduated</t>
  </si>
  <si>
    <t>Academic Program Name</t>
  </si>
  <si>
    <t># Temp/Contract FT</t>
  </si>
  <si>
    <t># Temp/Contract PT</t>
  </si>
  <si>
    <t># Freelance FT</t>
  </si>
  <si>
    <t># Freelance PT</t>
  </si>
  <si>
    <t># Post Grad Fellowship/Internship FT</t>
  </si>
  <si>
    <t># Post Grad Fellowship/Internship PT</t>
  </si>
  <si>
    <t xml:space="preserve"># Military Service </t>
  </si>
  <si>
    <t># Continuing Education</t>
  </si>
  <si>
    <t># Seeking Employment</t>
  </si>
  <si>
    <t># Seeking Continuing Education</t>
  </si>
  <si>
    <t># of Salaries (Full-time Employed)</t>
  </si>
  <si>
    <t># receiving Bonus</t>
  </si>
  <si>
    <t>The number of graduates receiving a degree at the specified level</t>
  </si>
  <si>
    <t>The number of graduates employed part-time (less than 30 hours per week) in temporary/contract work assignments - working for one client but is working on a specific project, which has a limited timeframe after which he/she is not likely to be employed by that client</t>
  </si>
  <si>
    <t>The number of graduates employed full-time (30 or more hours per week) in temporary/contract work assignments - working for one client but is working on a specific project, which has a limited timeframe after which he/she is not likely to be employed by that client</t>
  </si>
  <si>
    <t>The number of graduates employed full-time (30 or more hours per week) as freelance - someone who develops his own project, completes it, and sells it to a client, e.g. an artist or journalist</t>
  </si>
  <si>
    <t>The number of graduates employed part-time (less than 30 hours per week) as freelance - someone who develops his own project, completes it, and sells it to a client, e.g. an artist or journalist</t>
  </si>
  <si>
    <t># Fellowship or Postdoctoral program FT</t>
  </si>
  <si>
    <t># Fellowship or Postdoctoral program PT</t>
  </si>
  <si>
    <t># Faculty Non-Tenure Track</t>
  </si>
  <si>
    <t># Faculty Tenure Track</t>
  </si>
  <si>
    <t>The number of graduates in service programs (e.g. Peace Corps, AmeriCorps, etc.)</t>
  </si>
  <si>
    <t># Military Service</t>
  </si>
  <si>
    <t>The number of graduates enrolled in continuing education (includes certification programs as well as degree programs)</t>
  </si>
  <si>
    <t>The number of graduates seeking employment (should not include any graduate currently employed or enrolled in an educational program)</t>
  </si>
  <si>
    <t>The number of graduates seeking continuing education (should not include any graduate currently employed or enrolled in an educational program)</t>
  </si>
  <si>
    <t xml:space="preserve">Enter aggregated outcomes for graduates in Associate Degree academic programs. </t>
  </si>
  <si>
    <t xml:space="preserve">Enter aggregated outcomes for graduates in Doctoral Degree academic programs. </t>
  </si>
  <si>
    <t>Institution Name</t>
  </si>
  <si>
    <t>Associate's Summary</t>
  </si>
  <si>
    <t>Bachelor's Summary</t>
  </si>
  <si>
    <t>Master's Summary</t>
  </si>
  <si>
    <t>Program Data - Bachelor's</t>
  </si>
  <si>
    <t>Program Data - Associate's</t>
  </si>
  <si>
    <t>Program Data - Master's</t>
  </si>
  <si>
    <t>Program Data - Doctoral</t>
  </si>
  <si>
    <t>Definitions</t>
  </si>
  <si>
    <t>Questions?</t>
  </si>
  <si>
    <r>
      <rPr>
        <sz val="12"/>
        <rFont val="Calibri"/>
        <family val="2"/>
      </rPr>
      <t xml:space="preserve">EMAIL ADDRESS: </t>
    </r>
    <r>
      <rPr>
        <sz val="12"/>
        <color indexed="12"/>
        <rFont val="Calibri"/>
        <family val="2"/>
      </rPr>
      <t>research@naceweb.org</t>
    </r>
  </si>
  <si>
    <r>
      <t xml:space="preserve">SUBJECT LINE: </t>
    </r>
    <r>
      <rPr>
        <sz val="12"/>
        <color indexed="12"/>
        <rFont val="Calibri"/>
        <family val="2"/>
      </rPr>
      <t xml:space="preserve">NACE First-Destination Survey: Data from </t>
    </r>
    <r>
      <rPr>
        <sz val="12"/>
        <color indexed="10"/>
        <rFont val="Calibri"/>
        <family val="2"/>
      </rPr>
      <t>&lt;insert your school name&gt;</t>
    </r>
  </si>
  <si>
    <t>Here is the list of tabs available in this spreadsheet:</t>
  </si>
  <si>
    <t>If you have any questions on the use of this template, please contact NACE Research at:</t>
  </si>
  <si>
    <r>
      <rPr>
        <sz val="12"/>
        <rFont val="Calibri"/>
        <family val="2"/>
      </rPr>
      <t>EMAIL:</t>
    </r>
    <r>
      <rPr>
        <sz val="12"/>
        <color indexed="12"/>
        <rFont val="Calibri"/>
        <family val="2"/>
      </rPr>
      <t xml:space="preserve"> research@naceweb.org</t>
    </r>
  </si>
  <si>
    <r>
      <t xml:space="preserve">PHONE: </t>
    </r>
    <r>
      <rPr>
        <sz val="12"/>
        <color indexed="12"/>
        <rFont val="Calibri"/>
        <family val="2"/>
      </rPr>
      <t>610.625.1025</t>
    </r>
  </si>
  <si>
    <t>To submit your data, email your completed file to:</t>
  </si>
  <si>
    <t>Thank you for participating in this year's First-Destination Survey!</t>
  </si>
  <si>
    <t xml:space="preserve">CIP Code </t>
  </si>
  <si>
    <t>CIP Code</t>
  </si>
  <si>
    <t>The (CIP) Classification of Instructional Programs is a code system of instructional programs with the purpose to facilitate the organization, collection, and reporting of fields of study and program completions. Most of the CIP titles correspond to academic and occupational instructional programs offered for credit at the postsecondary level. For a current list, go to https://nces.ed.gov/ipeds/cipcode</t>
  </si>
  <si>
    <t>CIPFamily</t>
  </si>
  <si>
    <t>CIPCode</t>
  </si>
  <si>
    <t>CIPTitle</t>
  </si>
  <si>
    <t>Agriculture, General.</t>
  </si>
  <si>
    <t>Agricultural Business and Management.</t>
  </si>
  <si>
    <t>Agricultural Business and Management, General.</t>
  </si>
  <si>
    <t>Agribusiness/Agricultural Business Operations.</t>
  </si>
  <si>
    <t>Agricultural Economics.</t>
  </si>
  <si>
    <t>Farm/Farm and Ranch Management.</t>
  </si>
  <si>
    <t>Agricultural/Farm Supplies Retailing and Wholesaling.</t>
  </si>
  <si>
    <t>Agricultural Business and Management, Other.</t>
  </si>
  <si>
    <t>Agricultural Mechanization.</t>
  </si>
  <si>
    <t>Agricultural Mechanization, General.</t>
  </si>
  <si>
    <t>Agricultural Power Machinery Operation.</t>
  </si>
  <si>
    <t>Agricultural Mechanization, Other.</t>
  </si>
  <si>
    <t>Agricultural Production Operations.</t>
  </si>
  <si>
    <t>Agricultural Production Operations, General.</t>
  </si>
  <si>
    <t>Animal/Livestock Husbandry and Production.</t>
  </si>
  <si>
    <t>Aquaculture.</t>
  </si>
  <si>
    <t>Crop Production.</t>
  </si>
  <si>
    <t>Dairy Husbandry and Production.</t>
  </si>
  <si>
    <t>Horse Husbandry/Equine Science and Management.</t>
  </si>
  <si>
    <t>Agroecology and Sustainable Agriculture.</t>
  </si>
  <si>
    <t>Viticulture and Enology.</t>
  </si>
  <si>
    <t>Agricultural Production Operations, Other.</t>
  </si>
  <si>
    <t>Agricultural and Food Products Processing.</t>
  </si>
  <si>
    <t>Agricultural and Domestic Animal Services.</t>
  </si>
  <si>
    <t>Dog/Pet/Animal Grooming.</t>
  </si>
  <si>
    <t>Animal Training.</t>
  </si>
  <si>
    <t>Equestrian/Equine Studies.</t>
  </si>
  <si>
    <t>Taxidermy/Taxidermist.</t>
  </si>
  <si>
    <t>Agricultural and Domestic Animal Services, Other.</t>
  </si>
  <si>
    <t>Applied Horticulture and Horticultural Business Services.</t>
  </si>
  <si>
    <t>Applied Horticulture/Horticulture Operations, General.</t>
  </si>
  <si>
    <t>Ornamental Horticulture.</t>
  </si>
  <si>
    <t>Greenhouse Operations and Management.</t>
  </si>
  <si>
    <t>Landscaping and Groundskeeping.</t>
  </si>
  <si>
    <t>Plant Nursery Operations and Management.</t>
  </si>
  <si>
    <t>Turf and Turfgrass Management.</t>
  </si>
  <si>
    <t>Floriculture/Floristry Operations and Management.</t>
  </si>
  <si>
    <t>Applied Horticulture/Horticultural Business Services, Other.</t>
  </si>
  <si>
    <t>International Agriculture.</t>
  </si>
  <si>
    <t>Agricultural Public Services.</t>
  </si>
  <si>
    <t>Agricultural and Extension Education Services.</t>
  </si>
  <si>
    <t>Agricultural Communication/Journalism.</t>
  </si>
  <si>
    <t>Agricultural Public Services, Other.</t>
  </si>
  <si>
    <t>Animal Sciences.</t>
  </si>
  <si>
    <t>Animal Sciences, General.</t>
  </si>
  <si>
    <t>Agricultural Animal Breeding.</t>
  </si>
  <si>
    <t>Animal Health.</t>
  </si>
  <si>
    <t>Animal Nutrition.</t>
  </si>
  <si>
    <t>Dairy Science.</t>
  </si>
  <si>
    <t>Livestock Management.</t>
  </si>
  <si>
    <t>Poultry Science.</t>
  </si>
  <si>
    <t>Animal Sciences, Other.</t>
  </si>
  <si>
    <t>Food Science and Technology.</t>
  </si>
  <si>
    <t>Food Science.</t>
  </si>
  <si>
    <t>Food Technology and Processing.</t>
  </si>
  <si>
    <t>Food Science and Technology, Other.</t>
  </si>
  <si>
    <t>Plant Sciences.</t>
  </si>
  <si>
    <t>Plant Sciences, General.</t>
  </si>
  <si>
    <t>Agronomy and Crop Science.</t>
  </si>
  <si>
    <t>Horticultural Science.</t>
  </si>
  <si>
    <t>Agricultural and Horticultural Plant Breeding.</t>
  </si>
  <si>
    <t>Plant Protection and Integrated Pest Management.</t>
  </si>
  <si>
    <t>Range Science and Management.</t>
  </si>
  <si>
    <t>Plant Sciences, Other.</t>
  </si>
  <si>
    <t>Soil Sciences.</t>
  </si>
  <si>
    <t>Soil Science and Agronomy, General.</t>
  </si>
  <si>
    <t>Soil Chemistry and Physics.</t>
  </si>
  <si>
    <t>Soil Microbiology.</t>
  </si>
  <si>
    <t>Soil Sciences, Other.</t>
  </si>
  <si>
    <t>NATURAL RESOURCES AND CONSERVATION.</t>
  </si>
  <si>
    <t>Natural Resources Conservation and Research.</t>
  </si>
  <si>
    <t>Natural Resources/Conservation, General.</t>
  </si>
  <si>
    <t>Environmental Studies.</t>
  </si>
  <si>
    <t>Environmental Science.</t>
  </si>
  <si>
    <t>Natural Resources Conservation and Research, Other.</t>
  </si>
  <si>
    <t>Water, Wetlands, and Marine Resources Management.</t>
  </si>
  <si>
    <t>Land Use Planning and Management/Development.</t>
  </si>
  <si>
    <t>Fishing and Fisheries Sciences and Management.</t>
  </si>
  <si>
    <t>Forestry.</t>
  </si>
  <si>
    <t>Forestry, General.</t>
  </si>
  <si>
    <t>Forest Sciences and Biology.</t>
  </si>
  <si>
    <t>Forest Management/Forest Resources Management.</t>
  </si>
  <si>
    <t>Urban Forestry.</t>
  </si>
  <si>
    <t>Forest Resources Production and Management.</t>
  </si>
  <si>
    <t>Forest Technology/Technician.</t>
  </si>
  <si>
    <t>Forestry, Other.</t>
  </si>
  <si>
    <t>Wildlife and Wildlands Science and Management.</t>
  </si>
  <si>
    <t>Natural Resources and Conservation, Other.</t>
  </si>
  <si>
    <t>ARCHITECTURE AND RELATED SERVICES.</t>
  </si>
  <si>
    <t>Architecture.</t>
  </si>
  <si>
    <t>Environmental Design.</t>
  </si>
  <si>
    <t>Interior Architecture.</t>
  </si>
  <si>
    <t>Landscape Architecture.</t>
  </si>
  <si>
    <t>Architectural Sciences and Technology.</t>
  </si>
  <si>
    <t>Architectural Technology/Technician.</t>
  </si>
  <si>
    <t>Architectural and Building Sciences/Technology.</t>
  </si>
  <si>
    <t>Architectural Sciences and Technology, Other.</t>
  </si>
  <si>
    <t>Real Estate Development.</t>
  </si>
  <si>
    <t>Architecture and Related Services, Other.</t>
  </si>
  <si>
    <t>AREA, ETHNIC, CULTURAL, GENDER, AND GROUP STUDIES.</t>
  </si>
  <si>
    <t>Area Studies.</t>
  </si>
  <si>
    <t>African Studies.</t>
  </si>
  <si>
    <t>American/United States Studies/Civilization.</t>
  </si>
  <si>
    <t>Asian Studies/Civilization.</t>
  </si>
  <si>
    <t>East Asian Studies.</t>
  </si>
  <si>
    <t>Russian, Central European, East European and Eurasian Studies.</t>
  </si>
  <si>
    <t>European Studies/Civilization.</t>
  </si>
  <si>
    <t>Latin American Studies.</t>
  </si>
  <si>
    <t>Near and Middle Eastern Studies.</t>
  </si>
  <si>
    <t>Pacific Area/Pacific Rim Studies.</t>
  </si>
  <si>
    <t>Russian Studies.</t>
  </si>
  <si>
    <t>Scandinavian Studies.</t>
  </si>
  <si>
    <t>South Asian Studies.</t>
  </si>
  <si>
    <t>Southeast Asian Studies.</t>
  </si>
  <si>
    <t>Western European Studies.</t>
  </si>
  <si>
    <t>Canadian Studies.</t>
  </si>
  <si>
    <t>Balkans Studies.</t>
  </si>
  <si>
    <t>Baltic Studies.</t>
  </si>
  <si>
    <t>Slavic Studies.</t>
  </si>
  <si>
    <t>Caribbean Studies.</t>
  </si>
  <si>
    <t>Ural-Altaic and Central Asian Studies.</t>
  </si>
  <si>
    <t>Commonwealth Studies.</t>
  </si>
  <si>
    <t>Chinese Studies.</t>
  </si>
  <si>
    <t>French Studies.</t>
  </si>
  <si>
    <t>German Studies.</t>
  </si>
  <si>
    <t>Italian Studies.</t>
  </si>
  <si>
    <t>Japanese Studies.</t>
  </si>
  <si>
    <t>Korean Studies.</t>
  </si>
  <si>
    <t>Polish Studies.</t>
  </si>
  <si>
    <t>Spanish and Iberian Studies.</t>
  </si>
  <si>
    <t>Tibetan Studies.</t>
  </si>
  <si>
    <t>Ukraine Studies.</t>
  </si>
  <si>
    <t>Irish Studies.</t>
  </si>
  <si>
    <t>Latin American and Caribbean Studies.</t>
  </si>
  <si>
    <t>Area Studies, Other.</t>
  </si>
  <si>
    <t>Ethnic, Cultural Minority, Gender, and Group Studies.</t>
  </si>
  <si>
    <t>Ethnic Studies.</t>
  </si>
  <si>
    <t>African-American/Black Studies.</t>
  </si>
  <si>
    <t>American Indian/Native American Studies.</t>
  </si>
  <si>
    <t>Hispanic-American, Puerto Rican, and Mexican-American/Chicano Studies.</t>
  </si>
  <si>
    <t>Asian-American Studies.</t>
  </si>
  <si>
    <t>Women's Studies.</t>
  </si>
  <si>
    <t>Gay/Lesbian Studies.</t>
  </si>
  <si>
    <t>Folklore Studies.</t>
  </si>
  <si>
    <t>Disability Studies.</t>
  </si>
  <si>
    <t>Deaf Studies.</t>
  </si>
  <si>
    <t>Ethnic, Cultural Minority, Gender, and Group Studies, Other.</t>
  </si>
  <si>
    <t>COMMUNICATION, JOURNALISM, AND RELATED PROGRAMS.</t>
  </si>
  <si>
    <t>Communication and Media Studies.</t>
  </si>
  <si>
    <t>Communication, General.</t>
  </si>
  <si>
    <t>Speech Communication and Rhetoric.</t>
  </si>
  <si>
    <t>Mass Communication/Media Studies.</t>
  </si>
  <si>
    <t>Communication and Media Studies, Other.</t>
  </si>
  <si>
    <t>Journalism.</t>
  </si>
  <si>
    <t>Broadcast Journalism.</t>
  </si>
  <si>
    <t>Photojournalism.</t>
  </si>
  <si>
    <t>Journalism, Other.</t>
  </si>
  <si>
    <t>Radio, Television, and Digital Communication.</t>
  </si>
  <si>
    <t>Radio and Television.</t>
  </si>
  <si>
    <t>Digital Communication and Media/Multimedia.</t>
  </si>
  <si>
    <t>Radio, Television, and Digital Communication, Other.</t>
  </si>
  <si>
    <t>Public Relations, Advertising, and Applied Communication.</t>
  </si>
  <si>
    <t>Organizational Communication, General.</t>
  </si>
  <si>
    <t>Public Relations/Image Management.</t>
  </si>
  <si>
    <t>Advertising.</t>
  </si>
  <si>
    <t>Political Communication.</t>
  </si>
  <si>
    <t>Health Communication.</t>
  </si>
  <si>
    <t>Sports Communication.</t>
  </si>
  <si>
    <t>International and Intercultural Communication.</t>
  </si>
  <si>
    <t>Technical and Scientific Communication.</t>
  </si>
  <si>
    <t>Publishing.</t>
  </si>
  <si>
    <t>Communication, Journalism, and Related Programs, Other.</t>
  </si>
  <si>
    <t>COMMUNICATIONS TECHNOLOGIES/TECHNICIANS AND SUPPORT SERVICES.</t>
  </si>
  <si>
    <t>Communications Technology/Technician.</t>
  </si>
  <si>
    <t>Audiovisual Communications Technologies/Technicians.</t>
  </si>
  <si>
    <t>Radio and Television Broadcasting Technology/Technician.</t>
  </si>
  <si>
    <t>Recording Arts Technology/Technician.</t>
  </si>
  <si>
    <t>Audiovisual Communications Technologies/Technicians, Other.</t>
  </si>
  <si>
    <t>Graphic Communications.</t>
  </si>
  <si>
    <t>Graphic Communications, General.</t>
  </si>
  <si>
    <t>Printing Management.</t>
  </si>
  <si>
    <t>Prepress/Desktop Publishing and Digital Imaging Design.</t>
  </si>
  <si>
    <t>Graphic and Printing Equipment Operator, General Production.</t>
  </si>
  <si>
    <t>Platemaker/Imager.</t>
  </si>
  <si>
    <t>Printing Press Operator.</t>
  </si>
  <si>
    <t>Computer Typography and Composition Equipment Operator.</t>
  </si>
  <si>
    <t>Graphic Communications, Other.</t>
  </si>
  <si>
    <t>Communications Technologies/Technicians and Support Services, Other.</t>
  </si>
  <si>
    <t>COMPUTER AND INFORMATION SCIENCES AND SUPPORT SERVICES.</t>
  </si>
  <si>
    <t>Computer and Information Sciences, General.</t>
  </si>
  <si>
    <t>Artificial Intelligence.</t>
  </si>
  <si>
    <t>Information Technology.</t>
  </si>
  <si>
    <t>Informatics.</t>
  </si>
  <si>
    <t>Computer and Information Sciences,  Other.</t>
  </si>
  <si>
    <t>Computer Programming.</t>
  </si>
  <si>
    <t>Computer Programming/Programmer, General.</t>
  </si>
  <si>
    <t>Computer Programming, Specific Applications.</t>
  </si>
  <si>
    <t>Computer Programming, Vendor/Product Certification.</t>
  </si>
  <si>
    <t>Computer Programming, Other.</t>
  </si>
  <si>
    <t>Data Processing.</t>
  </si>
  <si>
    <t>Information Science/Studies.</t>
  </si>
  <si>
    <t>Computer Systems Analysis.</t>
  </si>
  <si>
    <t>Data Entry/Microcomputer Applications.</t>
  </si>
  <si>
    <t>Data Entry/Microcomputer Applications, General.</t>
  </si>
  <si>
    <t>Word Processing.</t>
  </si>
  <si>
    <t>Data Entry/Microcomputer Applications, Other.</t>
  </si>
  <si>
    <t>Computer Science.</t>
  </si>
  <si>
    <t>Computer Software and Media Applications.</t>
  </si>
  <si>
    <t>Web Page, Digital/Multimedia and Information Resources Design.</t>
  </si>
  <si>
    <t>Data Modeling/Warehousing and Database Administration.</t>
  </si>
  <si>
    <t>Computer Graphics.</t>
  </si>
  <si>
    <t>Modeling, Virtual Environments and Simulation.</t>
  </si>
  <si>
    <t>Computer Software and Media Applications, Other.</t>
  </si>
  <si>
    <t>Computer Systems Networking and Telecommunications.</t>
  </si>
  <si>
    <t>Computer/Information Technology Administration and Management.</t>
  </si>
  <si>
    <t>Network and System Administration/Administrator.</t>
  </si>
  <si>
    <t>System, Networking, and LAN/WAN Management/Manager.</t>
  </si>
  <si>
    <t>Web/Multimedia Management and Webmaster.</t>
  </si>
  <si>
    <t>Information Technology Project Management.</t>
  </si>
  <si>
    <t>Computer Support Specialist.</t>
  </si>
  <si>
    <t>Computer/Information Technology Services Administration and Management, Other.</t>
  </si>
  <si>
    <t>Computer and Information Sciences and Support Services, Other.</t>
  </si>
  <si>
    <t>Funeral Service and Mortuary Science.</t>
  </si>
  <si>
    <t>Funeral Service and Mortuary Science, General.</t>
  </si>
  <si>
    <t>Funeral Direction/Service.</t>
  </si>
  <si>
    <t>Mortuary Science and Embalming/Embalmer.</t>
  </si>
  <si>
    <t>Funeral Service and Mortuary Science, Other.</t>
  </si>
  <si>
    <t>Cosmetology and Related Personal Grooming Services.</t>
  </si>
  <si>
    <t>Cosmetology/Cosmetologist, General.</t>
  </si>
  <si>
    <t>Barbering/Barber.</t>
  </si>
  <si>
    <t>Electrolysis/Electrology and Electrolysis Technician.</t>
  </si>
  <si>
    <t>Make-Up Artist/Specialist.</t>
  </si>
  <si>
    <t>Hair Styling/Stylist and Hair Design.</t>
  </si>
  <si>
    <t>Facial Treatment Specialist/Facialist.</t>
  </si>
  <si>
    <t>Aesthetician/Esthetician and Skin Care Specialist.</t>
  </si>
  <si>
    <t>Nail Technician/Specialist and Manicurist.</t>
  </si>
  <si>
    <t>Permanent Cosmetics/Makeup and Tattooing.</t>
  </si>
  <si>
    <t>Salon/Beauty Salon Management/Manager.</t>
  </si>
  <si>
    <t>Cosmetology, Barber/Styling, and Nail Instructor.</t>
  </si>
  <si>
    <t>Master Aesthetician/Esthetician.</t>
  </si>
  <si>
    <t>Cosmetology and Related Personal Grooming Arts, Other.</t>
  </si>
  <si>
    <t>Culinary Arts and Related Services.</t>
  </si>
  <si>
    <t>Cooking and Related Culinary Arts, General.</t>
  </si>
  <si>
    <t>Baking and Pastry Arts/Baker/Pastry Chef.</t>
  </si>
  <si>
    <t>Bartending/Bartender.</t>
  </si>
  <si>
    <t>Culinary Arts/Chef Training.</t>
  </si>
  <si>
    <t>Restaurant, Culinary, and Catering Management/Manager.</t>
  </si>
  <si>
    <t>Food Preparation/Professional Cooking/Kitchen Assistant.</t>
  </si>
  <si>
    <t>Meat Cutting/Meat Cutter.</t>
  </si>
  <si>
    <t>Food Service, Waiter/Waitress, and Dining Room Management/Manager.</t>
  </si>
  <si>
    <t>Institutional Food Workers.</t>
  </si>
  <si>
    <t>Culinary Science/Culinology.</t>
  </si>
  <si>
    <t>Wine Steward/Sommelier.</t>
  </si>
  <si>
    <t>Culinary Arts and Related Services, Other.</t>
  </si>
  <si>
    <t>EDUCATION.</t>
  </si>
  <si>
    <t>Education, General.</t>
  </si>
  <si>
    <t>Bilingual, Multilingual, and Multicultural Education.</t>
  </si>
  <si>
    <t>Bilingual and Multilingual Education.</t>
  </si>
  <si>
    <t>Multicultural Education.</t>
  </si>
  <si>
    <t>Indian/Native American Education.</t>
  </si>
  <si>
    <t>Bilingual, Multilingual, and Multicultural Education, Other.</t>
  </si>
  <si>
    <t>Curriculum and Instruction.</t>
  </si>
  <si>
    <t>Educational Administration and Supervision.</t>
  </si>
  <si>
    <t>Educational Leadership and Administration, General.</t>
  </si>
  <si>
    <t>Administration of Special Education.</t>
  </si>
  <si>
    <t>Adult and Continuing Education Administration.</t>
  </si>
  <si>
    <t>Educational, Instructional, and Curriculum Supervision.</t>
  </si>
  <si>
    <t>Higher Education/Higher Education Administration.</t>
  </si>
  <si>
    <t>Elementary and Middle School Administration/Principalship.</t>
  </si>
  <si>
    <t>Secondary School Administration/Principalship.</t>
  </si>
  <si>
    <t>Urban Education and Leadership.</t>
  </si>
  <si>
    <t>Superintendency and Educational System Administration.</t>
  </si>
  <si>
    <t>Educational Administration and Supervision, Other.</t>
  </si>
  <si>
    <t>Educational/Instructional Media Design.</t>
  </si>
  <si>
    <t>Educational Assessment, Evaluation, and Research.</t>
  </si>
  <si>
    <t>Educational Evaluation and Research.</t>
  </si>
  <si>
    <t>Educational Statistics and Research Methods.</t>
  </si>
  <si>
    <t>Educational Assessment, Testing, and Measurement.</t>
  </si>
  <si>
    <t>Learning Sciences.</t>
  </si>
  <si>
    <t>Educational Assessment, Evaluation, and Research, Other.</t>
  </si>
  <si>
    <t>International and Comparative Education.</t>
  </si>
  <si>
    <t>Social and Philosophical Foundations of Education.</t>
  </si>
  <si>
    <t>Special Education and Teaching.</t>
  </si>
  <si>
    <t>Special Education and Teaching, General.</t>
  </si>
  <si>
    <t>Education/Teaching of Individuals with Hearing Impairments Including Deafness.</t>
  </si>
  <si>
    <t>Education/Teaching of the Gifted and Talented.</t>
  </si>
  <si>
    <t>Education/Teaching of Individuals with Emotional Disturbances.</t>
  </si>
  <si>
    <t>Education/Teaching of Individuals with Multiple Disabilities.</t>
  </si>
  <si>
    <t>Education/Teaching of Individuals with Orthopedic and Other Physical Health Impairments.</t>
  </si>
  <si>
    <t>Education/Teaching of Individuals with Vision Impairments Including Blindness.</t>
  </si>
  <si>
    <t>Education/Teaching of Individuals with Specific Learning Disabilities.</t>
  </si>
  <si>
    <t>Education/Teaching of Individuals with Speech or Language Impairments.</t>
  </si>
  <si>
    <t>Education/Teaching of Individuals with Autism.</t>
  </si>
  <si>
    <t>Education/Teaching of Individuals Who are Developmentally Delayed.</t>
  </si>
  <si>
    <t>Education/Teaching of Individuals in Early Childhood Special Education Programs.</t>
  </si>
  <si>
    <t>Education/Teaching of Individuals with Traumatic Brain Injuries.</t>
  </si>
  <si>
    <t>Education/Teaching of Individuals in Elementary Special Education Programs.</t>
  </si>
  <si>
    <t>Education/Teaching of Individuals in Junior High/Middle School Special Education Programs.</t>
  </si>
  <si>
    <t>Education/Teaching of Individuals in Secondary Special Education Programs.</t>
  </si>
  <si>
    <t>Special Education and Teaching, Other.</t>
  </si>
  <si>
    <t>Student Counseling and Personnel Services.</t>
  </si>
  <si>
    <t>Counselor Education/School Counseling and Guidance Services.</t>
  </si>
  <si>
    <t>College Student Counseling and Personnel Services.</t>
  </si>
  <si>
    <t>Student Counseling and Personnel Services, Other.</t>
  </si>
  <si>
    <t>Teacher Education and Professional Development, Specific Levels and Methods.</t>
  </si>
  <si>
    <t>Adult and Continuing Education and Teaching.</t>
  </si>
  <si>
    <t>Elementary Education and Teaching.</t>
  </si>
  <si>
    <t>Junior High/Intermediate/Middle School Education and Teaching.</t>
  </si>
  <si>
    <t>Secondary Education and Teaching.</t>
  </si>
  <si>
    <t>Teacher Education, Multiple Levels.</t>
  </si>
  <si>
    <t>Montessori Teacher Education.</t>
  </si>
  <si>
    <t>Waldorf/Steiner Teacher Education.</t>
  </si>
  <si>
    <t>Kindergarten/Preschool Education and Teaching.</t>
  </si>
  <si>
    <t>Early Childhood Education and Teaching.</t>
  </si>
  <si>
    <t>Teacher Education and Professional Development, Specific Levels and Methods, Other.</t>
  </si>
  <si>
    <t>Teacher Education and Professional Development, Specific Subject Areas.</t>
  </si>
  <si>
    <t>Agricultural Teacher Education.</t>
  </si>
  <si>
    <t>Art Teacher Education.</t>
  </si>
  <si>
    <t>Driver and Safety Teacher Education.</t>
  </si>
  <si>
    <t>English/Language Arts Teacher Education.</t>
  </si>
  <si>
    <t>Foreign Language Teacher  Education.</t>
  </si>
  <si>
    <t>Health Teacher Education.</t>
  </si>
  <si>
    <t>Family and Consumer Sciences/Home Economics Teacher Education.</t>
  </si>
  <si>
    <t>Technology Teacher Education/Industrial Arts Teacher Education.</t>
  </si>
  <si>
    <t>Sales and Marketing Operations/Marketing and Distribution   Teacher Education.</t>
  </si>
  <si>
    <t>Mathematics Teacher Education.</t>
  </si>
  <si>
    <t>Music Teacher Education.</t>
  </si>
  <si>
    <t>Physical Education Teaching and Coaching.</t>
  </si>
  <si>
    <t>Reading Teacher Education.</t>
  </si>
  <si>
    <t>Science Teacher Education/General Science Teacher Education.</t>
  </si>
  <si>
    <t>Social Science Teacher Education.</t>
  </si>
  <si>
    <t>Social Studies Teacher Education.</t>
  </si>
  <si>
    <t>Technical Teacher Education.</t>
  </si>
  <si>
    <t>Trade and Industrial Teacher Education.</t>
  </si>
  <si>
    <t>Computer Teacher Education.</t>
  </si>
  <si>
    <t>Biology Teacher Education.</t>
  </si>
  <si>
    <t>Chemistry Teacher Education.</t>
  </si>
  <si>
    <t>Drama and Dance Teacher Education.</t>
  </si>
  <si>
    <t>French Language Teacher Education.</t>
  </si>
  <si>
    <t>German Language Teacher Education.</t>
  </si>
  <si>
    <t>Health Occupations Teacher Education.</t>
  </si>
  <si>
    <t>History Teacher Education.</t>
  </si>
  <si>
    <t>Physics Teacher Education.</t>
  </si>
  <si>
    <t>Spanish Language Teacher Education.</t>
  </si>
  <si>
    <t>Speech Teacher Education.</t>
  </si>
  <si>
    <t>Geography Teacher Education.</t>
  </si>
  <si>
    <t>Latin Teacher Education.</t>
  </si>
  <si>
    <t>School Librarian/School Library Media Specialist.</t>
  </si>
  <si>
    <t>Psychology Teacher Education.</t>
  </si>
  <si>
    <t>Earth Science Teacher Education.</t>
  </si>
  <si>
    <t>Environmental Education.</t>
  </si>
  <si>
    <t>Teacher Education and Professional Development, Specific Subject Areas, Other.</t>
  </si>
  <si>
    <t>Teaching English or French as a Second or Foreign Language.</t>
  </si>
  <si>
    <t>Teaching English as a Second or Foreign Language/ESL Language Instructor.</t>
  </si>
  <si>
    <t>Teaching French as a Second or Foreign Language.</t>
  </si>
  <si>
    <t>Teaching English or French as a Second or Foreign Language, Other.</t>
  </si>
  <si>
    <t>Teaching Assistants/Aides.</t>
  </si>
  <si>
    <t>Teacher Assistant/Aide.</t>
  </si>
  <si>
    <t>Adult Literacy Tutor/Instructor.</t>
  </si>
  <si>
    <t>Teaching Assistants/Aides, Other.</t>
  </si>
  <si>
    <t>Education, Other.</t>
  </si>
  <si>
    <t>ENGINEERING.</t>
  </si>
  <si>
    <t>Engineering, General.</t>
  </si>
  <si>
    <t>Pre-Engineering.</t>
  </si>
  <si>
    <t>Agricultural Engineering.</t>
  </si>
  <si>
    <t>Architectural Engineering.</t>
  </si>
  <si>
    <t>Biomedical/Medical Engineering.</t>
  </si>
  <si>
    <t>Ceramic Sciences and Engineering.</t>
  </si>
  <si>
    <t>Chemical Engineering.</t>
  </si>
  <si>
    <t>Chemical and Biomolecular Engineering.</t>
  </si>
  <si>
    <t>Chemical Engineering, Other.</t>
  </si>
  <si>
    <t>Civil Engineering.</t>
  </si>
  <si>
    <t>Civil Engineering, General.</t>
  </si>
  <si>
    <t>Geotechnical and Geoenvironmental Engineering.</t>
  </si>
  <si>
    <t>Structural Engineering.</t>
  </si>
  <si>
    <t>Transportation and Highway Engineering.</t>
  </si>
  <si>
    <t>Water Resources Engineering.</t>
  </si>
  <si>
    <t>Civil Engineering, Other.</t>
  </si>
  <si>
    <t>Computer Engineering.</t>
  </si>
  <si>
    <t>Computer Engineering, General.</t>
  </si>
  <si>
    <t>Computer Hardware Engineering.</t>
  </si>
  <si>
    <t>Computer Software Engineering.</t>
  </si>
  <si>
    <t>Computer Engineering, Other.</t>
  </si>
  <si>
    <t>Laser and Optical Engineering.</t>
  </si>
  <si>
    <t>Telecommunications Engineering.</t>
  </si>
  <si>
    <t>Engineering Mechanics.</t>
  </si>
  <si>
    <t>Engineering Physics.</t>
  </si>
  <si>
    <t>Engineering Science.</t>
  </si>
  <si>
    <t>Environmental/Environmental Health Engineering.</t>
  </si>
  <si>
    <t>Mechanical Engineering.</t>
  </si>
  <si>
    <t>Metallurgical Engineering.</t>
  </si>
  <si>
    <t>Mining and Mineral Engineering.</t>
  </si>
  <si>
    <t>Naval Architecture and Marine Engineering.</t>
  </si>
  <si>
    <t>Nuclear Engineering.</t>
  </si>
  <si>
    <t>Ocean Engineering.</t>
  </si>
  <si>
    <t>Petroleum Engineering.</t>
  </si>
  <si>
    <t>Systems Engineering.</t>
  </si>
  <si>
    <t>Textile Sciences and Engineering.</t>
  </si>
  <si>
    <t>Materials Science.</t>
  </si>
  <si>
    <t>Polymer/Plastics Engineering.</t>
  </si>
  <si>
    <t>Construction Engineering.</t>
  </si>
  <si>
    <t>Forest Engineering.</t>
  </si>
  <si>
    <t>Industrial Engineering.</t>
  </si>
  <si>
    <t>Manufacturing Engineering.</t>
  </si>
  <si>
    <t>Operations Research.</t>
  </si>
  <si>
    <t>Surveying Engineering.</t>
  </si>
  <si>
    <t>Geological/Geophysical Engineering.</t>
  </si>
  <si>
    <t>Paper Science and Engineering.</t>
  </si>
  <si>
    <t>Electromechanical Engineering.</t>
  </si>
  <si>
    <t>Mechatronics, Robotics, and Automation Engineering.</t>
  </si>
  <si>
    <t>Biochemical Engineering.</t>
  </si>
  <si>
    <t>Engineering Chemistry.</t>
  </si>
  <si>
    <t>Biological/Biosystems Engineering.</t>
  </si>
  <si>
    <t>Engineering, Other.</t>
  </si>
  <si>
    <t>Architectural Engineering Technologies/Technicians.</t>
  </si>
  <si>
    <t>Civil Engineering Technologies/Technicians.</t>
  </si>
  <si>
    <t>Laser and Optical Technology/Technician.</t>
  </si>
  <si>
    <t>Telecommunications Technology/Technician.</t>
  </si>
  <si>
    <t>Biomedical Technology/Technician.</t>
  </si>
  <si>
    <t>Instrumentation Technology/Technician.</t>
  </si>
  <si>
    <t>Robotics Technology/Technician.</t>
  </si>
  <si>
    <t>Automation Engineer Technology/Technician.</t>
  </si>
  <si>
    <t>Environmental Control Technologies/Technicians.</t>
  </si>
  <si>
    <t>Heating, Ventilation, Air Conditioning and Refrigeration Engineering Technology/Technician.</t>
  </si>
  <si>
    <t>Energy Management and Systems Technology/Technician.</t>
  </si>
  <si>
    <t>Solar Energy Technology/Technician.</t>
  </si>
  <si>
    <t>Water Quality and Wastewater Treatment Management and Recycling Technology/Technician.</t>
  </si>
  <si>
    <t>Hazardous Materials Management and Waste Technology/Technician.</t>
  </si>
  <si>
    <t>Environmental Control Technologies/Technicians, Other.</t>
  </si>
  <si>
    <t>Industrial Production Technologies/Technicians.</t>
  </si>
  <si>
    <t>Plastics and Polymer Engineering Technology/Technician.</t>
  </si>
  <si>
    <t>Metallurgical Technology/Technician.</t>
  </si>
  <si>
    <t>Industrial Technology/Technician.</t>
  </si>
  <si>
    <t>Manufacturing Engineering Technology/Technician.</t>
  </si>
  <si>
    <t>Welding Engineering Technology/Technician.</t>
  </si>
  <si>
    <t>Chemical Engineering Technology/Technician.</t>
  </si>
  <si>
    <t>Industrial Production Technologies/Technicians, Other.</t>
  </si>
  <si>
    <t>Quality Control and Safety Technologies/Technicians.</t>
  </si>
  <si>
    <t>Occupational Safety and Health Technology/Technician.</t>
  </si>
  <si>
    <t>Quality Control Technology/Technician.</t>
  </si>
  <si>
    <t>Industrial Safety Technology/Technician.</t>
  </si>
  <si>
    <t>Hazardous Materials Information Systems Technology/Technician.</t>
  </si>
  <si>
    <t>Quality Control and Safety Technologies/Technicians, Other.</t>
  </si>
  <si>
    <t>Mechanical Engineering Related Technologies/Technicians.</t>
  </si>
  <si>
    <t>Aeronautical/Aerospace Engineering Technology/Technician.</t>
  </si>
  <si>
    <t>Automotive Engineering Technology/Technician.</t>
  </si>
  <si>
    <t>Mechanical Engineering Related Technologies/Technicians, Other.</t>
  </si>
  <si>
    <t>Mining and Petroleum Technologies/Technicians.</t>
  </si>
  <si>
    <t>Mining Technology/Technician.</t>
  </si>
  <si>
    <t>Petroleum Technology/Technician.</t>
  </si>
  <si>
    <t>Mining and Petroleum Technologies/Technicians, Other.</t>
  </si>
  <si>
    <t>Surveying Technology/Surveying.</t>
  </si>
  <si>
    <t>Hydraulics and Fluid Power Technology/Technician.</t>
  </si>
  <si>
    <t>Computer Engineering Technologies/Technicians.</t>
  </si>
  <si>
    <t>Computer Engineering Technology/Technician.</t>
  </si>
  <si>
    <t>Computer Hardware Technology/Technician.</t>
  </si>
  <si>
    <t>Computer Software Technology/Technician.</t>
  </si>
  <si>
    <t>Computer Engineering Technologies/Technicians, Other.</t>
  </si>
  <si>
    <t>Drafting/Design Engineering Technologies/Technicians.</t>
  </si>
  <si>
    <t>Drafting and Design Technology/Technician, General.</t>
  </si>
  <si>
    <t>CAD/CADD Drafting and/or Design Technology/Technician.</t>
  </si>
  <si>
    <t>Architectural Drafting and Architectural CAD/CADD.</t>
  </si>
  <si>
    <t>Civil Drafting and Civil Engineering CAD/CADD.</t>
  </si>
  <si>
    <t>Electrical/Electronics Drafting and Electrical/Electronics CAD/CADD.</t>
  </si>
  <si>
    <t>Mechanical Drafting and Mechanical Drafting CAD/CADD.</t>
  </si>
  <si>
    <t>Drafting/Design Engineering Technologies/Technicians, Other.</t>
  </si>
  <si>
    <t>Engineering-Related Fields.</t>
  </si>
  <si>
    <t>Engineering/Industrial Management.</t>
  </si>
  <si>
    <t>Engineering Design.</t>
  </si>
  <si>
    <t>Packaging Science.</t>
  </si>
  <si>
    <t>Engineering-Related Fields, Other.</t>
  </si>
  <si>
    <t>Nanotechnology.</t>
  </si>
  <si>
    <t>FOREIGN LANGUAGES, LITERATURES, AND LINGUISTICS.</t>
  </si>
  <si>
    <t>Linguistic, Comparative, and Related Language Studies and Services.</t>
  </si>
  <si>
    <t>Foreign Languages and Literatures, General.</t>
  </si>
  <si>
    <t>Linguistics.</t>
  </si>
  <si>
    <t>Language Interpretation and Translation.</t>
  </si>
  <si>
    <t>Comparative Literature.</t>
  </si>
  <si>
    <t>Applied Linguistics.</t>
  </si>
  <si>
    <t>Linguistic, Comparative, and Related Language Studies and Services, Other.</t>
  </si>
  <si>
    <t>African Languages, Literatures, and Linguistics.</t>
  </si>
  <si>
    <t>East Asian Languages, Literatures, and Linguistics.</t>
  </si>
  <si>
    <t>East Asian Languages, Literatures, and Linguistics, General.</t>
  </si>
  <si>
    <t>Chinese Language and Literature.</t>
  </si>
  <si>
    <t>Japanese Language and Literature.</t>
  </si>
  <si>
    <t>Korean Language and Literature.</t>
  </si>
  <si>
    <t>Tibetan Language and Literature.</t>
  </si>
  <si>
    <t>East Asian Languages, Literatures, and Linguistics, Other.</t>
  </si>
  <si>
    <t>Slavic, Baltic and Albanian Languages, Literatures, and Linguistics.</t>
  </si>
  <si>
    <t>Slavic Languages, Literatures, and Linguistics, General.</t>
  </si>
  <si>
    <t>Baltic Languages, Literatures, and Linguistics.</t>
  </si>
  <si>
    <t>Russian Language and Literature.</t>
  </si>
  <si>
    <t>Albanian Language and Literature.</t>
  </si>
  <si>
    <t>Bulgarian Language and Literature.</t>
  </si>
  <si>
    <t>Czech Language and Literature.</t>
  </si>
  <si>
    <t>Polish Language and Literature.</t>
  </si>
  <si>
    <t>Bosnian, Serbian, and Croatian Languages and Literatures.</t>
  </si>
  <si>
    <t>Slovak Language and Literature.</t>
  </si>
  <si>
    <t>Ukrainian Language and Literature.</t>
  </si>
  <si>
    <t>Slavic, Baltic, and Albanian Languages, Literatures, and Linguistics, Other.</t>
  </si>
  <si>
    <t>Germanic Languages, Literatures, and Linguistics.</t>
  </si>
  <si>
    <t>Germanic Languages, Literatures, and Linguistics, General.</t>
  </si>
  <si>
    <t>German Language and Literature.</t>
  </si>
  <si>
    <t>Scandinavian Languages, Literatures, and Linguistics.</t>
  </si>
  <si>
    <t>Danish Language and Literature.</t>
  </si>
  <si>
    <t>Dutch/Flemish Language and Literature.</t>
  </si>
  <si>
    <t>Norwegian Language and Literature.</t>
  </si>
  <si>
    <t>Swedish Language and Literature.</t>
  </si>
  <si>
    <t>Germanic Languages, Literatures, and Linguistics, Other.</t>
  </si>
  <si>
    <t>Modern Greek Language and Literature.</t>
  </si>
  <si>
    <t>South Asian Languages, Literatures, and Linguistics.</t>
  </si>
  <si>
    <t>South Asian Languages, Literatures, and Linguistics, General.</t>
  </si>
  <si>
    <t>Hindi Language and Literature.</t>
  </si>
  <si>
    <t>Sanskrit and Classical Indian Languages, Literatures, and Linguistics.</t>
  </si>
  <si>
    <t>Bengali Language and Literature.</t>
  </si>
  <si>
    <t>Punjabi Language and Literature.</t>
  </si>
  <si>
    <t>Tamil Language and Literature.</t>
  </si>
  <si>
    <t>Urdu Language and Literature.</t>
  </si>
  <si>
    <t>South Asian Languages, Literatures, and Linguistics, Other.</t>
  </si>
  <si>
    <t>Iranian/Persian Languages, Literatures, and Linguistics.</t>
  </si>
  <si>
    <t>Romance Languages, Literatures, and Linguistics.</t>
  </si>
  <si>
    <t>Romance Languages, Literatures, and Linguistics, General.</t>
  </si>
  <si>
    <t>French Language and Literature.</t>
  </si>
  <si>
    <t>Italian Language and Literature.</t>
  </si>
  <si>
    <t>Portuguese Language and Literature.</t>
  </si>
  <si>
    <t>Spanish Language and Literature.</t>
  </si>
  <si>
    <t>Romanian Language and Literature.</t>
  </si>
  <si>
    <t>Catalan Language and Literature.</t>
  </si>
  <si>
    <t>Hispanic and Latin American Languages, Literatures, and Linguistics, General.</t>
  </si>
  <si>
    <t>Romance Languages, Literatures, and Linguistics, Other.</t>
  </si>
  <si>
    <t>American Indian/Native American Languages, Literatures, and Linguistics.</t>
  </si>
  <si>
    <t>Middle/Near Eastern and Semitic Languages, Literatures, and Linguistics.</t>
  </si>
  <si>
    <t>Middle/Near Eastern and Semitic Languages, Literatures, and Linguistics, General.</t>
  </si>
  <si>
    <t>Arabic Language and Literature.</t>
  </si>
  <si>
    <t>Hebrew Language and Literature.</t>
  </si>
  <si>
    <t>Ancient Near Eastern and Biblical Languages, Literatures, and Linguistics.</t>
  </si>
  <si>
    <t>Middle/Near Eastern and Semitic Languages, Literatures, and Linguistics, Other.</t>
  </si>
  <si>
    <t>Classics and Classical Languages, Literatures, and Linguistics.</t>
  </si>
  <si>
    <t>Classics and Classical Languages, Literatures, and Linguistics, General.</t>
  </si>
  <si>
    <t>Ancient/Classical Greek Language and Literature.</t>
  </si>
  <si>
    <t>Latin Language and Literature.</t>
  </si>
  <si>
    <t>Classics and Classical Languages, Literatures, and Linguistics, Other.</t>
  </si>
  <si>
    <t>Celtic Languages, Literatures, and Linguistics.</t>
  </si>
  <si>
    <t>Southeast Asian and Australasian/Pacific Languages, Literatures, and Linguistics.</t>
  </si>
  <si>
    <t>Southeast Asian Languages, Literatures, and Linguistics, General.</t>
  </si>
  <si>
    <t>Australian/Oceanic/Pacific Languages, Literatures, and Linguistics.</t>
  </si>
  <si>
    <t>Indonesian/Malay Languages and Literatures.</t>
  </si>
  <si>
    <t>Burmese Language and Literature.</t>
  </si>
  <si>
    <t>Filipino/Tagalog Language and Literature.</t>
  </si>
  <si>
    <t>Khmer/Cambodian Language and Literature.</t>
  </si>
  <si>
    <t>Lao Language and Literature.</t>
  </si>
  <si>
    <t>Thai Language and Literature.</t>
  </si>
  <si>
    <t>Vietnamese Language and Literature.</t>
  </si>
  <si>
    <t>Southeast Asian and Australasian/Pacific Languages, Literatures, and Linguistics, Other.</t>
  </si>
  <si>
    <t>Turkic, Uralic-Altaic, Caucasian, and Central Asian Languages, Literatures, and Linguistics.</t>
  </si>
  <si>
    <t>Turkish Language and Literature.</t>
  </si>
  <si>
    <t>Uralic Languages, Literatures, and Linguistics.</t>
  </si>
  <si>
    <t>Hungarian/Magyar Language and Literature.</t>
  </si>
  <si>
    <t>Mongolian Language and Literature.</t>
  </si>
  <si>
    <t>Turkic, Uralic-Altaic, Caucasian, and Central Asian Languages, Literatures, and Linguistics, Other.</t>
  </si>
  <si>
    <t>American Sign Language.</t>
  </si>
  <si>
    <t>American Sign Language (ASL).</t>
  </si>
  <si>
    <t>Linguistics of ASL and Other Sign Languages.</t>
  </si>
  <si>
    <t>Sign Language Interpretation and Translation.</t>
  </si>
  <si>
    <t>American Sign Language, Other.</t>
  </si>
  <si>
    <t>Foreign Languages, Literatures, and Linguistics, Other.</t>
  </si>
  <si>
    <t>FAMILY AND CONSUMER SCIENCES/HUMAN SCIENCES.</t>
  </si>
  <si>
    <t>Work and Family Studies.</t>
  </si>
  <si>
    <t>Family and Consumer Sciences/Human Sciences, General.</t>
  </si>
  <si>
    <t>Family and Consumer Sciences/Human Sciences Business Services.</t>
  </si>
  <si>
    <t>Business Family and Consumer Sciences/Human Sciences.</t>
  </si>
  <si>
    <t>Family and Consumer Sciences/Human Sciences Communication.</t>
  </si>
  <si>
    <t>Consumer Merchandising/Retailing Management.</t>
  </si>
  <si>
    <t>Family and Consumer Sciences/Human Sciences Business Services, Other.</t>
  </si>
  <si>
    <t>Family and Consumer Economics and Related Studies.</t>
  </si>
  <si>
    <t>Family Resource Management Studies, General.</t>
  </si>
  <si>
    <t>Consumer Economics.</t>
  </si>
  <si>
    <t>Consumer Services and Advocacy.</t>
  </si>
  <si>
    <t>Family and Consumer Economics and Related Services, Other.</t>
  </si>
  <si>
    <t>Foods, Nutrition, and Related Services.</t>
  </si>
  <si>
    <t>Foods, Nutrition, and Wellness Studies, General.</t>
  </si>
  <si>
    <t>Human Nutrition.</t>
  </si>
  <si>
    <t>Foodservice Systems Administration/Management.</t>
  </si>
  <si>
    <t>Foods, Nutrition, and Related Services, Other.</t>
  </si>
  <si>
    <t>Housing and Human Environments.</t>
  </si>
  <si>
    <t>Housing and Human Environments, General.</t>
  </si>
  <si>
    <t>Facilities Planning and Management.</t>
  </si>
  <si>
    <t>Home Furnishings and Equipment Installers.</t>
  </si>
  <si>
    <t>Housing and Human Environments, Other.</t>
  </si>
  <si>
    <t>Human Development, Family Studies, and Related Services.</t>
  </si>
  <si>
    <t>Human Development and Family Studies, General.</t>
  </si>
  <si>
    <t>Adult Development and Aging.</t>
  </si>
  <si>
    <t>Family Systems.</t>
  </si>
  <si>
    <t>Child Development.</t>
  </si>
  <si>
    <t>Family and Community Services.</t>
  </si>
  <si>
    <t>Child Care and Support Services Management.</t>
  </si>
  <si>
    <t>Child Care Provider/Assistant.</t>
  </si>
  <si>
    <t>Developmental Services Worker.</t>
  </si>
  <si>
    <t>Human Development, Family Studies, and Related Services, Other.</t>
  </si>
  <si>
    <t>Apparel and Textiles.</t>
  </si>
  <si>
    <t>Apparel and Textiles, General.</t>
  </si>
  <si>
    <t>Apparel and Textile Manufacture.</t>
  </si>
  <si>
    <t>Textile Science.</t>
  </si>
  <si>
    <t>Apparel and Textile Marketing Management.</t>
  </si>
  <si>
    <t>Fashion and Fabric Consultant.</t>
  </si>
  <si>
    <t>Apparel and Textiles, Other.</t>
  </si>
  <si>
    <t>Family and Consumer Sciences/Human Sciences, Other.</t>
  </si>
  <si>
    <t>LEGAL PROFESSIONS AND STUDIES.</t>
  </si>
  <si>
    <t>Pre-Law Studies.</t>
  </si>
  <si>
    <t>Law.</t>
  </si>
  <si>
    <t>Legal Research and Advanced Professional Studies.</t>
  </si>
  <si>
    <t>Advanced Legal Research/Studies, General.</t>
  </si>
  <si>
    <t>Programs for Foreign Lawyers.</t>
  </si>
  <si>
    <t>American/U.S. Law/Legal Studies/Jurisprudence.</t>
  </si>
  <si>
    <t>Canadian Law/Legal Studies/Jurisprudence.</t>
  </si>
  <si>
    <t>Banking, Corporate, Finance, and Securities Law.</t>
  </si>
  <si>
    <t>Comparative Law.</t>
  </si>
  <si>
    <t>Energy, Environment, and Natural Resources Law.</t>
  </si>
  <si>
    <t>Health Law.</t>
  </si>
  <si>
    <t>International Law and Legal Studies.</t>
  </si>
  <si>
    <t>International Business, Trade, and Tax Law.</t>
  </si>
  <si>
    <t>Tax Law/Taxation.</t>
  </si>
  <si>
    <t>Intellectual Property Law.</t>
  </si>
  <si>
    <t>Legal Research and Advanced Professional Studies, Other.</t>
  </si>
  <si>
    <t>Legal Support Services.</t>
  </si>
  <si>
    <t>Legal Administrative Assistant/Secretary.</t>
  </si>
  <si>
    <t>Legal Assistant/Paralegal.</t>
  </si>
  <si>
    <t>Legal Support Services, Other.</t>
  </si>
  <si>
    <t>Legal Professions and Studies, Other.</t>
  </si>
  <si>
    <t>ENGLISH LANGUAGE AND LITERATURE/LETTERS.</t>
  </si>
  <si>
    <t>English Language and Literature, General.</t>
  </si>
  <si>
    <t>Creative Writing.</t>
  </si>
  <si>
    <t>American Literature (United States).</t>
  </si>
  <si>
    <t>American Literature (Canadian).</t>
  </si>
  <si>
    <t>English Literature (British and Commonwealth).</t>
  </si>
  <si>
    <t>Rhetoric and Composition/Writing Studies.</t>
  </si>
  <si>
    <t>Writing, General.</t>
  </si>
  <si>
    <t>Professional, Technical, Business, and Scientific Writing.</t>
  </si>
  <si>
    <t>Rhetoric and Composition.</t>
  </si>
  <si>
    <t>Rhetoric and Composition/Writing Studies, Other.</t>
  </si>
  <si>
    <t>Literature.</t>
  </si>
  <si>
    <t>General Literature.</t>
  </si>
  <si>
    <t>Children's and Adolescent Literature.</t>
  </si>
  <si>
    <t>Literature, Other.</t>
  </si>
  <si>
    <t>English Language and Literature/Letters, Other.</t>
  </si>
  <si>
    <t>LIBERAL ARTS AND SCIENCES, GENERAL STUDIES AND HUMANITIES.</t>
  </si>
  <si>
    <t>Liberal Arts and Sciences, General Studies and Humanities.</t>
  </si>
  <si>
    <t>Liberal Arts and Sciences/Liberal Studies.</t>
  </si>
  <si>
    <t>General Studies.</t>
  </si>
  <si>
    <t>Humanities/Humanistic Studies.</t>
  </si>
  <si>
    <t>Liberal Arts and Sciences, General Studies and Humanities, Other.</t>
  </si>
  <si>
    <t>LIBRARY SCIENCE.</t>
  </si>
  <si>
    <t>Library Science and Administration.</t>
  </si>
  <si>
    <t>Library and Information Science.</t>
  </si>
  <si>
    <t>Children and Youth Library Services.</t>
  </si>
  <si>
    <t>Archives/Archival Administration.</t>
  </si>
  <si>
    <t>Library Science and Administration, Other.</t>
  </si>
  <si>
    <t>Library and Archives Assisting.</t>
  </si>
  <si>
    <t>Library Science, Other.</t>
  </si>
  <si>
    <t>BIOLOGICAL AND BIOMEDICAL SCIENCES.</t>
  </si>
  <si>
    <t>Biology, General.</t>
  </si>
  <si>
    <t>Biology/Biological Sciences, General.</t>
  </si>
  <si>
    <t>Biomedical Sciences, General.</t>
  </si>
  <si>
    <t>Biochemistry, Biophysics and Molecular Biology.</t>
  </si>
  <si>
    <t>Biochemistry.</t>
  </si>
  <si>
    <t>Biophysics.</t>
  </si>
  <si>
    <t>Molecular Biology.</t>
  </si>
  <si>
    <t>Molecular Biochemistry.</t>
  </si>
  <si>
    <t>Molecular Biophysics.</t>
  </si>
  <si>
    <t>Structural Biology.</t>
  </si>
  <si>
    <t>Photobiology.</t>
  </si>
  <si>
    <t>Radiation Biology/Radiobiology.</t>
  </si>
  <si>
    <t>Biochemistry and Molecular Biology.</t>
  </si>
  <si>
    <t>Biochemistry, Biophysics and Molecular Biology, Other.</t>
  </si>
  <si>
    <t>Botany/Plant Biology.</t>
  </si>
  <si>
    <t>Plant Pathology/Phytopathology.</t>
  </si>
  <si>
    <t>Plant Physiology.</t>
  </si>
  <si>
    <t>Plant Molecular Biology.</t>
  </si>
  <si>
    <t>Botany/Plant Biology, Other.</t>
  </si>
  <si>
    <t>Cell/Cellular Biology and Anatomical Sciences.</t>
  </si>
  <si>
    <t>Cell/Cellular Biology and Histology.</t>
  </si>
  <si>
    <t>Anatomy.</t>
  </si>
  <si>
    <t>Developmental Biology and Embryology.</t>
  </si>
  <si>
    <t>Neuroanatomy.</t>
  </si>
  <si>
    <t>Cell/Cellular and Molecular Biology.</t>
  </si>
  <si>
    <t>Cell Biology and Anatomy.</t>
  </si>
  <si>
    <t>Cell/Cellular Biology and Anatomical Sciences, Other.</t>
  </si>
  <si>
    <t>Microbiological Sciences and Immunology.</t>
  </si>
  <si>
    <t>Microbiology, General.</t>
  </si>
  <si>
    <t>Medical Microbiology and Bacteriology.</t>
  </si>
  <si>
    <t>Virology.</t>
  </si>
  <si>
    <t>Parasitology.</t>
  </si>
  <si>
    <t>Mycology.</t>
  </si>
  <si>
    <t>Immunology.</t>
  </si>
  <si>
    <t>Microbiology and Immunology.</t>
  </si>
  <si>
    <t>Microbiological Sciences and Immunology, Other.</t>
  </si>
  <si>
    <t>Zoology/Animal Biology.</t>
  </si>
  <si>
    <t>Entomology.</t>
  </si>
  <si>
    <t>Animal Physiology.</t>
  </si>
  <si>
    <t>Animal Behavior and Ethology.</t>
  </si>
  <si>
    <t>Wildlife Biology.</t>
  </si>
  <si>
    <t>Zoology/Animal Biology, Other.</t>
  </si>
  <si>
    <t>Genetics.</t>
  </si>
  <si>
    <t>Genetics, General.</t>
  </si>
  <si>
    <t>Molecular Genetics.</t>
  </si>
  <si>
    <t>Microbial and Eukaryotic Genetics.</t>
  </si>
  <si>
    <t>Animal Genetics.</t>
  </si>
  <si>
    <t>Plant Genetics.</t>
  </si>
  <si>
    <t>Human/Medical Genetics.</t>
  </si>
  <si>
    <t>Genome Sciences/Genomics.</t>
  </si>
  <si>
    <t>Genetics, Other.</t>
  </si>
  <si>
    <t>Physiology, Pathology and Related Sciences.</t>
  </si>
  <si>
    <t>Physiology, General.</t>
  </si>
  <si>
    <t>Molecular Physiology.</t>
  </si>
  <si>
    <t>Cell Physiology.</t>
  </si>
  <si>
    <t>Endocrinology.</t>
  </si>
  <si>
    <t>Reproductive Biology.</t>
  </si>
  <si>
    <t>Cardiovascular Science.</t>
  </si>
  <si>
    <t>Vision Science/Physiological Optics.</t>
  </si>
  <si>
    <t>Pathology/Experimental Pathology.</t>
  </si>
  <si>
    <t>Oncology and Cancer Biology.</t>
  </si>
  <si>
    <t>Aerospace Physiology and Medicine.</t>
  </si>
  <si>
    <t>Physiology, Pathology, and Related Sciences, Other.</t>
  </si>
  <si>
    <t>Pharmacology and Toxicology.</t>
  </si>
  <si>
    <t>Pharmacology.</t>
  </si>
  <si>
    <t>Molecular Pharmacology.</t>
  </si>
  <si>
    <t>Neuropharmacology.</t>
  </si>
  <si>
    <t>Toxicology.</t>
  </si>
  <si>
    <t>Molecular Toxicology.</t>
  </si>
  <si>
    <t>Environmental Toxicology.</t>
  </si>
  <si>
    <t>Pharmacology and Toxicology, Other.</t>
  </si>
  <si>
    <t>Biomathematics, Bioinformatics, and Computational Biology.</t>
  </si>
  <si>
    <t>Biometry/Biometrics.</t>
  </si>
  <si>
    <t>Biostatistics.</t>
  </si>
  <si>
    <t>Bioinformatics.</t>
  </si>
  <si>
    <t>Computational Biology.</t>
  </si>
  <si>
    <t>Biomathematics, Bioinformatics, and Computational Biology, Other.</t>
  </si>
  <si>
    <t>Biotechnology.</t>
  </si>
  <si>
    <t>Ecology, Evolution, Systematics, and Population Biology.</t>
  </si>
  <si>
    <t>Ecology.</t>
  </si>
  <si>
    <t>Marine Biology and Biological Oceanography.</t>
  </si>
  <si>
    <t>Evolutionary Biology.</t>
  </si>
  <si>
    <t>Aquatic Biology/Limnology.</t>
  </si>
  <si>
    <t>Environmental Biology.</t>
  </si>
  <si>
    <t>Population Biology.</t>
  </si>
  <si>
    <t>Conservation Biology.</t>
  </si>
  <si>
    <t>Systematic Biology/Biological Systematics.</t>
  </si>
  <si>
    <t>Epidemiology.</t>
  </si>
  <si>
    <t>Ecology and Evolutionary Biology.</t>
  </si>
  <si>
    <t>Ecology, Evolution, Systematics and Population Biology, Other.</t>
  </si>
  <si>
    <t>Molecular Medicine.</t>
  </si>
  <si>
    <t>Neurobiology and Neurosciences.</t>
  </si>
  <si>
    <t>Neuroscience.</t>
  </si>
  <si>
    <t>Neurobiology and Anatomy.</t>
  </si>
  <si>
    <t>Neurobiology and Behavior.</t>
  </si>
  <si>
    <t>Neurobiology and Neurosciences, Other.</t>
  </si>
  <si>
    <t>Biological and Biomedical Sciences, Other.</t>
  </si>
  <si>
    <t>MATHEMATICS AND STATISTICS.</t>
  </si>
  <si>
    <t>Mathematics.</t>
  </si>
  <si>
    <t>Mathematics, General.</t>
  </si>
  <si>
    <t>Algebra and Number Theory.</t>
  </si>
  <si>
    <t>Analysis and Functional Analysis.</t>
  </si>
  <si>
    <t>Geometry/Geometric Analysis.</t>
  </si>
  <si>
    <t>Topology and Foundations.</t>
  </si>
  <si>
    <t>Mathematics, Other.</t>
  </si>
  <si>
    <t>Applied Mathematics.</t>
  </si>
  <si>
    <t>Applied Mathematics, General.</t>
  </si>
  <si>
    <t>Computational Mathematics.</t>
  </si>
  <si>
    <t>Computational and Applied Mathematics.</t>
  </si>
  <si>
    <t>Financial Mathematics.</t>
  </si>
  <si>
    <t>Mathematical Biology.</t>
  </si>
  <si>
    <t>Applied Mathematics, Other.</t>
  </si>
  <si>
    <t>Statistics.</t>
  </si>
  <si>
    <t>Statistics, General.</t>
  </si>
  <si>
    <t>Mathematical Statistics and Probability.</t>
  </si>
  <si>
    <t>Mathematics and Statistics.</t>
  </si>
  <si>
    <t>Statistics, Other.</t>
  </si>
  <si>
    <t>Mathematics and Statistics, Other.</t>
  </si>
  <si>
    <t>MILITARY SCIENCE, LEADERSHIP AND OPERATIONAL ART.</t>
  </si>
  <si>
    <t>Air Force ROTC, Air Science and Operations.</t>
  </si>
  <si>
    <t>Air Force JROTC/ROTC.</t>
  </si>
  <si>
    <t>Air Force ROTC, Air Science and Operations, Other.</t>
  </si>
  <si>
    <t>Army ROTC, Military Science and Operations.</t>
  </si>
  <si>
    <t>Army JROTC/ROTC.</t>
  </si>
  <si>
    <t>Army ROTC, Military Science and Operations, Other.</t>
  </si>
  <si>
    <t>Navy/Marine ROTC, Naval Science and Operations.</t>
  </si>
  <si>
    <t>Navy/Marine Corps JROTC/ROTC.</t>
  </si>
  <si>
    <t>Navy/Marine Corps ROTC, Naval Science and Operations, Other.</t>
  </si>
  <si>
    <t>Military Science and Operational Studies.</t>
  </si>
  <si>
    <t>Air Science/Airpower Studies.</t>
  </si>
  <si>
    <t>Air and Space Operational Art and Science.</t>
  </si>
  <si>
    <t>Military Operational Art and Science/Studies.</t>
  </si>
  <si>
    <t>Advanced Military and Operational Studies.</t>
  </si>
  <si>
    <t>Naval Science and Operational Studies.</t>
  </si>
  <si>
    <t>Special, Irregular and Counterterrorist Operations.</t>
  </si>
  <si>
    <t>Military Science and Operational Studies, Other.</t>
  </si>
  <si>
    <t>Security Policy and Strategy.</t>
  </si>
  <si>
    <t>Strategic Studies, General.</t>
  </si>
  <si>
    <t>Military and Strategic Leadership.</t>
  </si>
  <si>
    <t>Military and International Operational Law.</t>
  </si>
  <si>
    <t>Joint Operations Planning and Strategy.</t>
  </si>
  <si>
    <t>Weapons of Mass Destruction.</t>
  </si>
  <si>
    <t>National Security Policy and Strategy, Other.</t>
  </si>
  <si>
    <t>Military Economics and Management.</t>
  </si>
  <si>
    <t>National Resource Strategy and Policy.</t>
  </si>
  <si>
    <t>Industry Studies.</t>
  </si>
  <si>
    <t>Military Installation Management.</t>
  </si>
  <si>
    <t>Military Economics and Management, Other.</t>
  </si>
  <si>
    <t>Military Science, Leadership and Operational Art, Other.</t>
  </si>
  <si>
    <t>MILITARY TECHNOLOGIES AND APPLIED SCIENCES.</t>
  </si>
  <si>
    <t>Intelligence, Command Control and Information Operations.</t>
  </si>
  <si>
    <t>Intelligence, General.</t>
  </si>
  <si>
    <t>Strategic Intelligence.</t>
  </si>
  <si>
    <t>Signal/Geospatial Intelligence.</t>
  </si>
  <si>
    <t>Command &amp; Control (C3, C4I) Systems and Operations.</t>
  </si>
  <si>
    <t>Information Operations/Joint Information Operations.</t>
  </si>
  <si>
    <t>Information/Psychological Warfare and Military Media Relations.</t>
  </si>
  <si>
    <t>Cyber/Electronic Operations and Warfare.</t>
  </si>
  <si>
    <t>Intelligence, Command Control and Information Operations, Other.</t>
  </si>
  <si>
    <t>Military Applied Sciences.</t>
  </si>
  <si>
    <t>Combat Systems Engineering.</t>
  </si>
  <si>
    <t>Directed Energy Systems.</t>
  </si>
  <si>
    <t>Engineering Acoustics.</t>
  </si>
  <si>
    <t>Low-Observables and Stealth Technology.</t>
  </si>
  <si>
    <t>Space Systems Operations.</t>
  </si>
  <si>
    <t>Operational Oceanography.</t>
  </si>
  <si>
    <t>Undersea Warfare.</t>
  </si>
  <si>
    <t>Military Applied Sciences, Other.</t>
  </si>
  <si>
    <t>Military Systems and Maintenance Technology.</t>
  </si>
  <si>
    <t>Aerospace Ground Equipment Technology.</t>
  </si>
  <si>
    <t>Air and Space Operations Technology.</t>
  </si>
  <si>
    <t>Aircraft Armament Systems Technology.</t>
  </si>
  <si>
    <t>Explosive Ordinance/Bomb Disposal.</t>
  </si>
  <si>
    <t>Joint Command/Task Force (C3, C4I) Systems.</t>
  </si>
  <si>
    <t>Military Information Systems Technology.</t>
  </si>
  <si>
    <t>Missile and Space Systems Technology.</t>
  </si>
  <si>
    <t>Munitions Systems/Ordinance Technology.</t>
  </si>
  <si>
    <t>Radar Communications and Systems Technology.</t>
  </si>
  <si>
    <t>Military Systems and Maintenance Technology, Other.</t>
  </si>
  <si>
    <t>Military Technologies and Applied Sciences, Other.</t>
  </si>
  <si>
    <t>MULTI/INTERDISCIPLINARY STUDIES.</t>
  </si>
  <si>
    <t>Multi-/Interdisciplinary Studies, General.</t>
  </si>
  <si>
    <t>Biological and Physical Sciences.</t>
  </si>
  <si>
    <t>Peace Studies and Conflict Resolution.</t>
  </si>
  <si>
    <t>Systems Science and Theory.</t>
  </si>
  <si>
    <t>Mathematics and Computer Science.</t>
  </si>
  <si>
    <t>Biopsychology.</t>
  </si>
  <si>
    <t>Gerontology.</t>
  </si>
  <si>
    <t>Historic Preservation and Conservation.</t>
  </si>
  <si>
    <t>Cultural Resource Management and Policy Analysis.</t>
  </si>
  <si>
    <t>Historic Preservation and Conservation, Other.</t>
  </si>
  <si>
    <t>Medieval and Renaissance Studies.</t>
  </si>
  <si>
    <t>Museology/Museum Studies.</t>
  </si>
  <si>
    <t>Science, Technology and Society.</t>
  </si>
  <si>
    <t>Accounting and Computer Science.</t>
  </si>
  <si>
    <t>Behavioral Sciences.</t>
  </si>
  <si>
    <t>Natural Sciences.</t>
  </si>
  <si>
    <t>Nutrition Sciences.</t>
  </si>
  <si>
    <t>Holocaust and Related Studies.</t>
  </si>
  <si>
    <t>Classical and Ancient Studies.</t>
  </si>
  <si>
    <t>Ancient Studies/Civilization.</t>
  </si>
  <si>
    <t>Intercultural/Multicultural and Diversity Studies.</t>
  </si>
  <si>
    <t>Cognitive Science.</t>
  </si>
  <si>
    <t>Cultural Studies/Critical Theory and Analysis.</t>
  </si>
  <si>
    <t>Human Biology.</t>
  </si>
  <si>
    <t>Dispute Resolution.</t>
  </si>
  <si>
    <t>Maritime Studies.</t>
  </si>
  <si>
    <t>Computational Science.</t>
  </si>
  <si>
    <t>Human Computer Interaction.</t>
  </si>
  <si>
    <t>Marine Sciences.</t>
  </si>
  <si>
    <t>Sustainability Studies.</t>
  </si>
  <si>
    <t>Multi/Interdisciplinary Studies, Other.</t>
  </si>
  <si>
    <t>Golf Course Operation and Grounds Management.</t>
  </si>
  <si>
    <t>Sport and Fitness Administration/Management.</t>
  </si>
  <si>
    <t>Physical Fitness Technician.</t>
  </si>
  <si>
    <t>Sports Studies.</t>
  </si>
  <si>
    <t>Outdoor Education.</t>
  </si>
  <si>
    <t>BASIC SKILLS AND DEVELOPMENTAL/REMEDIAL EDUCATION.</t>
  </si>
  <si>
    <t>Basic Skills and Developmental/Remedial Education.</t>
  </si>
  <si>
    <t>Basic Skills and Developmental/Remedial Education, General.</t>
  </si>
  <si>
    <t>Developmental/Remedial Mathematics.</t>
  </si>
  <si>
    <t>Job-Seeking/Changing Skills.</t>
  </si>
  <si>
    <t>Career Exploration/Awareness Skills.</t>
  </si>
  <si>
    <t>Developmental/Remedial English.</t>
  </si>
  <si>
    <t>Second Language Learning.</t>
  </si>
  <si>
    <t>Basic Computer Skills.</t>
  </si>
  <si>
    <t>Workforce Development and Training.</t>
  </si>
  <si>
    <t>Basic Skills and Developmental/Remedial Education, Other.</t>
  </si>
  <si>
    <t>CITIZENSHIP ACTIVITIES.</t>
  </si>
  <si>
    <t>Citizenship Activities.</t>
  </si>
  <si>
    <t>Citizenship Activities, General.</t>
  </si>
  <si>
    <t>American Citizenship Education.</t>
  </si>
  <si>
    <t>Community Awareness.</t>
  </si>
  <si>
    <t>Community Involvement.</t>
  </si>
  <si>
    <t>Canadian Citizenship Education.</t>
  </si>
  <si>
    <t>Citizenship Activities, Other.</t>
  </si>
  <si>
    <t>HEALTH-RELATED KNOWLEDGE AND SKILLS.</t>
  </si>
  <si>
    <t>Health-Related Knowledge and Skills.</t>
  </si>
  <si>
    <t>Birthing and Parenting Knowledge and Skills.</t>
  </si>
  <si>
    <t>Personal Health Improvement and Maintenance.</t>
  </si>
  <si>
    <t>Addiction Prevention and Treatment.</t>
  </si>
  <si>
    <t>Health-Related Knowledge and Skills, Other.</t>
  </si>
  <si>
    <t>INTERPERSONAL AND SOCIAL SKILLS.</t>
  </si>
  <si>
    <t>Interpersonal and Social Skills.</t>
  </si>
  <si>
    <t>Interpersonal and Social Skills, General.</t>
  </si>
  <si>
    <t>Interpersonal Relationships Skills.</t>
  </si>
  <si>
    <t>Business and Social Skills.</t>
  </si>
  <si>
    <t>Interpersonal Social Skills, Other.</t>
  </si>
  <si>
    <t>LEISURE AND RECREATIONAL ACTIVITIES.</t>
  </si>
  <si>
    <t>Leisure and Recreational Activities.</t>
  </si>
  <si>
    <t>Leisure and Recreational Activities, General.</t>
  </si>
  <si>
    <t>Handicrafts and Model-Making.</t>
  </si>
  <si>
    <t>Board, Card and Role-Playing Games.</t>
  </si>
  <si>
    <t>Home Maintenance and Improvement.</t>
  </si>
  <si>
    <t>Nature Appreciation.</t>
  </si>
  <si>
    <t>Pet Ownership and Care.</t>
  </si>
  <si>
    <t>Sports and Exercise.</t>
  </si>
  <si>
    <t>Travel and Exploration.</t>
  </si>
  <si>
    <t>Art.</t>
  </si>
  <si>
    <t>Collecting.</t>
  </si>
  <si>
    <t>Cooking and Other Domestic Skills.</t>
  </si>
  <si>
    <t>Computer Games and Programming Skills.</t>
  </si>
  <si>
    <t>Dancing.</t>
  </si>
  <si>
    <t>Music.</t>
  </si>
  <si>
    <t>Reading.</t>
  </si>
  <si>
    <t>Theatre/Theater.</t>
  </si>
  <si>
    <t>Writing.</t>
  </si>
  <si>
    <t>Aircraft Pilot (Private).</t>
  </si>
  <si>
    <t>Leisure and Recreational Activities, Other.</t>
  </si>
  <si>
    <t>PERSONAL AWARENESS AND SELF-IMPROVEMENT.</t>
  </si>
  <si>
    <t>Personal Awareness and Self-Improvement.</t>
  </si>
  <si>
    <t>Self-Awareness and Personal Assessment.</t>
  </si>
  <si>
    <t>Stress Management and Coping Skills.</t>
  </si>
  <si>
    <t>Personal Decision-Making Skills.</t>
  </si>
  <si>
    <t>Self-Esteem and Values Clarification.</t>
  </si>
  <si>
    <t>Personal Awareness and Self-Improvement, Other.</t>
  </si>
  <si>
    <t>PHILOSOPHY AND RELIGIOUS STUDIES.</t>
  </si>
  <si>
    <t>Philosophy and Religious Studies, General.</t>
  </si>
  <si>
    <t>Philosophy.</t>
  </si>
  <si>
    <t>Logic.</t>
  </si>
  <si>
    <t>Ethics.</t>
  </si>
  <si>
    <t>Applied and Professional Ethics.</t>
  </si>
  <si>
    <t>Philosophy, Other.</t>
  </si>
  <si>
    <t>Religion/Religious Studies.</t>
  </si>
  <si>
    <t>Buddhist Studies.</t>
  </si>
  <si>
    <t>Christian Studies.</t>
  </si>
  <si>
    <t>Hindu Studies.</t>
  </si>
  <si>
    <t>Islamic Studies.</t>
  </si>
  <si>
    <t>Jewish/Judaic Studies.</t>
  </si>
  <si>
    <t>Religion/Religious Studies, Other.</t>
  </si>
  <si>
    <t>Philosophy and Religious Studies, Other.</t>
  </si>
  <si>
    <t>THEOLOGY AND RELIGIOUS VOCATIONS.</t>
  </si>
  <si>
    <t>Bible/Biblical Studies.</t>
  </si>
  <si>
    <t>Missions/Missionary Studies and Missiology.</t>
  </si>
  <si>
    <t>Religious Education.</t>
  </si>
  <si>
    <t>Religious/Sacred Music.</t>
  </si>
  <si>
    <t>Theological and Ministerial Studies.</t>
  </si>
  <si>
    <t>Theology/Theological Studies.</t>
  </si>
  <si>
    <t>Divinity/Ministry.</t>
  </si>
  <si>
    <t>Pre-Theology/Pre-Ministerial Studies.</t>
  </si>
  <si>
    <t>Rabbinical Studies.</t>
  </si>
  <si>
    <t>Talmudic Studies.</t>
  </si>
  <si>
    <t>Theological and Ministerial Studies, Other.</t>
  </si>
  <si>
    <t>Pastoral Counseling and Specialized Ministries.</t>
  </si>
  <si>
    <t>Pastoral Studies/Counseling.</t>
  </si>
  <si>
    <t>Youth Ministry.</t>
  </si>
  <si>
    <t>Urban Ministry.</t>
  </si>
  <si>
    <t>Women's Ministry.</t>
  </si>
  <si>
    <t>Lay Ministry.</t>
  </si>
  <si>
    <t>Pastoral Counseling and Specialized Ministries, Other.</t>
  </si>
  <si>
    <t>Theology and Religious Vocations, Other.</t>
  </si>
  <si>
    <t>PHYSICAL SCIENCES.</t>
  </si>
  <si>
    <t>Astronomy and Astrophysics.</t>
  </si>
  <si>
    <t>Astronomy.</t>
  </si>
  <si>
    <t>Astrophysics.</t>
  </si>
  <si>
    <t>Planetary Astronomy and Science.</t>
  </si>
  <si>
    <t>Astronomy and Astrophysics, Other.</t>
  </si>
  <si>
    <t>Atmospheric Sciences and Meteorology.</t>
  </si>
  <si>
    <t>Atmospheric Sciences and Meteorology, General.</t>
  </si>
  <si>
    <t>Atmospheric Chemistry and Climatology.</t>
  </si>
  <si>
    <t>Atmospheric Physics and Dynamics.</t>
  </si>
  <si>
    <t>Meteorology.</t>
  </si>
  <si>
    <t>Atmospheric Sciences and Meteorology, Other.</t>
  </si>
  <si>
    <t>Chemistry.</t>
  </si>
  <si>
    <t>Chemistry, General.</t>
  </si>
  <si>
    <t>Analytical Chemistry.</t>
  </si>
  <si>
    <t>Inorganic Chemistry.</t>
  </si>
  <si>
    <t>Organic Chemistry.</t>
  </si>
  <si>
    <t>Physical Chemistry.</t>
  </si>
  <si>
    <t>Polymer Chemistry.</t>
  </si>
  <si>
    <t>Chemical Physics.</t>
  </si>
  <si>
    <t>Environmental Chemistry.</t>
  </si>
  <si>
    <t>Forensic Chemistry.</t>
  </si>
  <si>
    <t>Theoretical Chemistry.</t>
  </si>
  <si>
    <t>Chemistry, Other.</t>
  </si>
  <si>
    <t>Geological and Earth Sciences/Geosciences.</t>
  </si>
  <si>
    <t>Geology/Earth Science, General.</t>
  </si>
  <si>
    <t>Geochemistry.</t>
  </si>
  <si>
    <t>Geophysics and Seismology.</t>
  </si>
  <si>
    <t>Paleontology.</t>
  </si>
  <si>
    <t>Hydrology and Water Resources Science.</t>
  </si>
  <si>
    <t>Geochemistry and Petrology.</t>
  </si>
  <si>
    <t>Oceanography, Chemical and Physical.</t>
  </si>
  <si>
    <t>Geological and Earth Sciences/Geosciences, Other.</t>
  </si>
  <si>
    <t>Physics.</t>
  </si>
  <si>
    <t>Physics, General.</t>
  </si>
  <si>
    <t>Atomic/Molecular Physics.</t>
  </si>
  <si>
    <t>Elementary Particle Physics.</t>
  </si>
  <si>
    <t>Plasma and High-Temperature Physics.</t>
  </si>
  <si>
    <t>Nuclear Physics.</t>
  </si>
  <si>
    <t>Optics/Optical Sciences.</t>
  </si>
  <si>
    <t>Condensed Matter and Materials Physics.</t>
  </si>
  <si>
    <t>Acoustics.</t>
  </si>
  <si>
    <t>Theoretical and Mathematical Physics.</t>
  </si>
  <si>
    <t>Physics, Other.</t>
  </si>
  <si>
    <t>Materials Sciences.</t>
  </si>
  <si>
    <t>Materials Chemistry.</t>
  </si>
  <si>
    <t>Materials Sciences, Other.</t>
  </si>
  <si>
    <t>Physical Sciences, Other.</t>
  </si>
  <si>
    <t>SCIENCE TECHNOLOGIES/TECHNICIANS.</t>
  </si>
  <si>
    <t>Science Technologies/Technicians, General.</t>
  </si>
  <si>
    <t>Nuclear and Industrial Radiologic Technologies/Technicians.</t>
  </si>
  <si>
    <t>Industrial Radiologic Technology/Technician.</t>
  </si>
  <si>
    <t>Nuclear/Nuclear Power Technology/Technician.</t>
  </si>
  <si>
    <t>Nuclear and Industrial Radiologic Technologies/Technicians, Other.</t>
  </si>
  <si>
    <t>Physical Science Technologies/Technicians.</t>
  </si>
  <si>
    <t>Chemical Technology/Technician.</t>
  </si>
  <si>
    <t>Chemical Process Technology.</t>
  </si>
  <si>
    <t>Physical Science Technologies/Technicians, Other.</t>
  </si>
  <si>
    <t>Science Technologies/Technicians, Other.</t>
  </si>
  <si>
    <t>PSYCHOLOGY.</t>
  </si>
  <si>
    <t>Psychology, General.</t>
  </si>
  <si>
    <t>Clinical Psychology.</t>
  </si>
  <si>
    <t>Cognitive Psychology and Psycholinguistics.</t>
  </si>
  <si>
    <t>Community Psychology.</t>
  </si>
  <si>
    <t>Comparative Psychology.</t>
  </si>
  <si>
    <t>Counseling Psychology.</t>
  </si>
  <si>
    <t>Developmental and Child Psychology.</t>
  </si>
  <si>
    <t>Experimental Psychology.</t>
  </si>
  <si>
    <t>Industrial and Organizational Psychology.</t>
  </si>
  <si>
    <t>Personality Psychology.</t>
  </si>
  <si>
    <t>Social Psychology.</t>
  </si>
  <si>
    <t>School Psychology.</t>
  </si>
  <si>
    <t>Educational Psychology.</t>
  </si>
  <si>
    <t>Psychometrics and Quantitative Psychology.</t>
  </si>
  <si>
    <t>Clinical Child Psychology.</t>
  </si>
  <si>
    <t>Environmental Psychology.</t>
  </si>
  <si>
    <t>Geropsychology.</t>
  </si>
  <si>
    <t>Psychopharmacology.</t>
  </si>
  <si>
    <t>Family Psychology.</t>
  </si>
  <si>
    <t>Forensic Psychology.</t>
  </si>
  <si>
    <t>Research and Experimental Psychology.</t>
  </si>
  <si>
    <t>Research and Experimental Psychology, Other.</t>
  </si>
  <si>
    <t>Clinical, Counseling and Applied Psychology.</t>
  </si>
  <si>
    <t>Health/Medical Psychology.</t>
  </si>
  <si>
    <t>Applied Psychology.</t>
  </si>
  <si>
    <t>Applied Behavior Analysis.</t>
  </si>
  <si>
    <t>Clinical, Counseling and Applied Psychology, Other.</t>
  </si>
  <si>
    <t>Psychology, Other.</t>
  </si>
  <si>
    <t>HOMELAND SECURITY, LAW ENFORCEMENT, FIREFIGHTING AND RELATED PROTECTIVE SERVICES.</t>
  </si>
  <si>
    <t>Criminal Justice and Corrections.</t>
  </si>
  <si>
    <t>Corrections.</t>
  </si>
  <si>
    <t>Criminal Justice/Law Enforcement Administration.</t>
  </si>
  <si>
    <t>Criminal Justice/Safety Studies.</t>
  </si>
  <si>
    <t>Forensic Science and Technology.</t>
  </si>
  <si>
    <t>Criminal Justice/Police Science.</t>
  </si>
  <si>
    <t>Security and Loss Prevention Services.</t>
  </si>
  <si>
    <t>Juvenile Corrections.</t>
  </si>
  <si>
    <t>Criminalistics and Criminal Science.</t>
  </si>
  <si>
    <t>Securities Services Administration/Management.</t>
  </si>
  <si>
    <t>Corrections Administration.</t>
  </si>
  <si>
    <t>Law Enforcement Investigation and Interviewing.</t>
  </si>
  <si>
    <t>Law Enforcement Record-Keeping and Evidence Management.</t>
  </si>
  <si>
    <t>Cyber/Computer Forensics and Counterterrorism.</t>
  </si>
  <si>
    <t>Financial Forensics and Fraud Investigation.</t>
  </si>
  <si>
    <t>Law Enforcement Intelligence Analysis.</t>
  </si>
  <si>
    <t>Critical Incident Response/Special Police Operations.</t>
  </si>
  <si>
    <t>Protective Services Operations.</t>
  </si>
  <si>
    <t>Suspension and Debarment Investigation.</t>
  </si>
  <si>
    <t>Maritime Law Enforcement.</t>
  </si>
  <si>
    <t>Cultural/Archaelogical Resources Protection.</t>
  </si>
  <si>
    <t>Corrections and Criminal Justice, Other.</t>
  </si>
  <si>
    <t>Fire Protection.</t>
  </si>
  <si>
    <t>Fire Prevention and Safety Technology/Technician.</t>
  </si>
  <si>
    <t>Fire Services Administration.</t>
  </si>
  <si>
    <t>Fire Science/Fire-fighting.</t>
  </si>
  <si>
    <t>Fire Systems Technology.</t>
  </si>
  <si>
    <t>Fire/Arson Investigation and Prevention.</t>
  </si>
  <si>
    <t>Wildland/Forest Firefighting and Investigation.</t>
  </si>
  <si>
    <t>Fire Protection, Other.</t>
  </si>
  <si>
    <t>Homeland Security.</t>
  </si>
  <si>
    <t>Crisis/Emergency/Disaster Management.</t>
  </si>
  <si>
    <t>Critical Infrastructure Protection.</t>
  </si>
  <si>
    <t>Terrorism and Counterterrorism Operations.</t>
  </si>
  <si>
    <t>Homeland Security, Other.</t>
  </si>
  <si>
    <t>Homeland Security, Law Enforcement, Firefighting and Related Protective Services, Other.</t>
  </si>
  <si>
    <t>PUBLIC ADMINISTRATION AND SOCIAL SERVICE PROFESSIONS.</t>
  </si>
  <si>
    <t>Human Services, General.</t>
  </si>
  <si>
    <t>Community Organization and Advocacy.</t>
  </si>
  <si>
    <t>Public Administration.</t>
  </si>
  <si>
    <t>Public Policy Analysis.</t>
  </si>
  <si>
    <t>Public Policy Analysis, General.</t>
  </si>
  <si>
    <t>Education Policy Analysis.</t>
  </si>
  <si>
    <t>Health Policy Analysis.</t>
  </si>
  <si>
    <t>International Policy Analysis.</t>
  </si>
  <si>
    <t>Public Policy Analysis, Other.</t>
  </si>
  <si>
    <t>Social Work.</t>
  </si>
  <si>
    <t>Youth Services/Administration.</t>
  </si>
  <si>
    <t>Social Work, Other.</t>
  </si>
  <si>
    <t>Public Administration and Social Service Professions, Other.</t>
  </si>
  <si>
    <t>SOCIAL SCIENCES.</t>
  </si>
  <si>
    <t>Social Sciences, General.</t>
  </si>
  <si>
    <t>Research Methodology and Quantitative Methods.</t>
  </si>
  <si>
    <t>Anthropology.</t>
  </si>
  <si>
    <t>Physical and Biological Anthropology.</t>
  </si>
  <si>
    <t>Medical Anthropology.</t>
  </si>
  <si>
    <t>Cultural Anthropology.</t>
  </si>
  <si>
    <t>Anthropology, Other.</t>
  </si>
  <si>
    <t>Archeology.</t>
  </si>
  <si>
    <t>Criminology.</t>
  </si>
  <si>
    <t>Demography and Population Studies.</t>
  </si>
  <si>
    <t>Economics.</t>
  </si>
  <si>
    <t>Economics, General.</t>
  </si>
  <si>
    <t>Applied Economics.</t>
  </si>
  <si>
    <t>Econometrics and Quantitative Economics.</t>
  </si>
  <si>
    <t>Development Economics and International Development.</t>
  </si>
  <si>
    <t>International Economics.</t>
  </si>
  <si>
    <t>Economics, Other.</t>
  </si>
  <si>
    <t>Geography and Cartography.</t>
  </si>
  <si>
    <t>Geography.</t>
  </si>
  <si>
    <t>Geographic Information Science and Cartography.</t>
  </si>
  <si>
    <t>Geography, Other.</t>
  </si>
  <si>
    <t>International Relations and National Security Studies.</t>
  </si>
  <si>
    <t>International Relations and Affairs.</t>
  </si>
  <si>
    <t>National Security Policy Studies.</t>
  </si>
  <si>
    <t>International Relations and National Security Studies, Other.</t>
  </si>
  <si>
    <t>Political Science and Government.</t>
  </si>
  <si>
    <t>Political Science and Government, General.</t>
  </si>
  <si>
    <t>American Government and Politics (United States).</t>
  </si>
  <si>
    <t>Canadian Government and Politics.</t>
  </si>
  <si>
    <t>Political Economy.</t>
  </si>
  <si>
    <t>Political Science and Government, Other.</t>
  </si>
  <si>
    <t>Sociology.</t>
  </si>
  <si>
    <t>Urban Studies/Affairs.</t>
  </si>
  <si>
    <t>Sociology and Anthropology.</t>
  </si>
  <si>
    <t>Rural Sociology.</t>
  </si>
  <si>
    <t>Social Sciences, Other.</t>
  </si>
  <si>
    <t>CONSTRUCTION TRADES.</t>
  </si>
  <si>
    <t>Construction Trades, General.</t>
  </si>
  <si>
    <t>Mason/Masonry.</t>
  </si>
  <si>
    <t>Carpenters.</t>
  </si>
  <si>
    <t>Electrical and Power Transmission Installers.</t>
  </si>
  <si>
    <t>Electrical and Power Transmission Installation/Installer, General.</t>
  </si>
  <si>
    <t>Electrician.</t>
  </si>
  <si>
    <t>Lineworker.</t>
  </si>
  <si>
    <t>Electrical and Power Transmission Installers, Other.</t>
  </si>
  <si>
    <t>Building/Construction Finishing, Management, and Inspection.</t>
  </si>
  <si>
    <t>Building/Property Maintenance.</t>
  </si>
  <si>
    <t>Concrete Finishing/Concrete Finisher.</t>
  </si>
  <si>
    <t>Building/Home/Construction Inspection/Inspector.</t>
  </si>
  <si>
    <t>Drywall Installation/Drywaller.</t>
  </si>
  <si>
    <t>Glazier.</t>
  </si>
  <si>
    <t>Painting/Painter and Wall Coverer.</t>
  </si>
  <si>
    <t>Roofer.</t>
  </si>
  <si>
    <t>Metal Building Assembly/Assembler.</t>
  </si>
  <si>
    <t>Building/Construction Site Management/Manager.</t>
  </si>
  <si>
    <t>Carpet, Floor, and Tile Worker.</t>
  </si>
  <si>
    <t>Insulator.</t>
  </si>
  <si>
    <t>Building/Construction Finishing, Management, and Inspection, Other.</t>
  </si>
  <si>
    <t>Plumbing and Related Water Supply Services.</t>
  </si>
  <si>
    <t>Pipefitting/Pipefitter and Sprinkler Fitter.</t>
  </si>
  <si>
    <t>Plumbing Technology/Plumber.</t>
  </si>
  <si>
    <t>Well Drilling/Driller.</t>
  </si>
  <si>
    <t>Blasting/Blaster.</t>
  </si>
  <si>
    <t>Plumbing and Related Water Supply Services, Other.</t>
  </si>
  <si>
    <t>Construction Trades, Other.</t>
  </si>
  <si>
    <t>MECHANIC AND REPAIR TECHNOLOGIES/TECHNICIANS.</t>
  </si>
  <si>
    <t>Mechanics and Repairers, General.</t>
  </si>
  <si>
    <t>Business Machine Repair.</t>
  </si>
  <si>
    <t>Computer Installation and Repair Technology/Technician.</t>
  </si>
  <si>
    <t>Industrial Electronics Technology/Technician.</t>
  </si>
  <si>
    <t>Appliance Installation and Repair Technology/Technician.</t>
  </si>
  <si>
    <t>Security System Installation, Repair, and Inspection Technology/Technician.</t>
  </si>
  <si>
    <t>Heating, Air Conditioning, Ventilation and Refrigeration Maintenance Technology/Technician (HAC, HACR, HVAC, HVACR).</t>
  </si>
  <si>
    <t>Heavy Equipment Maintenance Technology/Technician.</t>
  </si>
  <si>
    <t>Gunsmithing/Gunsmith.</t>
  </si>
  <si>
    <t>Locksmithing and Safe Repair.</t>
  </si>
  <si>
    <t>Musical Instrument Fabrication and Repair.</t>
  </si>
  <si>
    <t>Watchmaking and Jewelrymaking.</t>
  </si>
  <si>
    <t>Parts and Warehousing Operations and Maintenance Technology/Technician.</t>
  </si>
  <si>
    <t>Autobody/Collision and Repair Technology/Technician.</t>
  </si>
  <si>
    <t>Automobile/Automotive Mechanics Technology/Technician.</t>
  </si>
  <si>
    <t>Diesel Mechanics Technology/Technician.</t>
  </si>
  <si>
    <t>Small Engine Mechanics and Repair Technology/Technician.</t>
  </si>
  <si>
    <t>Airframe Mechanics and Aircraft Maintenance Technology/Technician.</t>
  </si>
  <si>
    <t>Aircraft Powerplant Technology/Technician.</t>
  </si>
  <si>
    <t>Avionics Maintenance Technology/Technician.</t>
  </si>
  <si>
    <t>Bicycle Mechanics and Repair Technology/Technician.</t>
  </si>
  <si>
    <t>Motorcycle Maintenance and Repair Technology/Technician.</t>
  </si>
  <si>
    <t>Vehicle Emissions Inspection and Maintenance Technology/Technician.</t>
  </si>
  <si>
    <t>Medium/Heavy Vehicle and Truck Technology/Technician.</t>
  </si>
  <si>
    <t>Alternative Fuel Vehicle Technology/Technician.</t>
  </si>
  <si>
    <t>Engine Machinist.</t>
  </si>
  <si>
    <t>Marine Maintenance/Fitter and Ship Repair Technology/Technician.</t>
  </si>
  <si>
    <t>High Performance and Custom Engine Technician/Mechanic.</t>
  </si>
  <si>
    <t>Recreation Vehicle (RV) Service Technician.</t>
  </si>
  <si>
    <t>Mechanic and Repair Technologies/Technicians, Other.</t>
  </si>
  <si>
    <t>PRECISION PRODUCTION.</t>
  </si>
  <si>
    <t>Precision Production Trades, General.</t>
  </si>
  <si>
    <t>Leatherworking and Upholstery.</t>
  </si>
  <si>
    <t>Upholstery/Upholsterer.</t>
  </si>
  <si>
    <t>Shoe, Boot and Leather Repair.</t>
  </si>
  <si>
    <t>Leatherworking and Upholstery, Other.</t>
  </si>
  <si>
    <t>Precision Metal Working.</t>
  </si>
  <si>
    <t>Machine Tool Technology/Machinist.</t>
  </si>
  <si>
    <t>Machine Shop Technology/Assistant.</t>
  </si>
  <si>
    <t>Sheet Metal Technology/Sheetworking.</t>
  </si>
  <si>
    <t>Tool and Die Technology/Technician.</t>
  </si>
  <si>
    <t>Welding Technology/Welder.</t>
  </si>
  <si>
    <t>Ironworking/Ironworker.</t>
  </si>
  <si>
    <t>Computer Numerically Controlled (CNC) Machinist Technology/CNC Machinist.</t>
  </si>
  <si>
    <t>Metal Fabricator.</t>
  </si>
  <si>
    <t>Precision Metal Working, Other.</t>
  </si>
  <si>
    <t>Woodworking.</t>
  </si>
  <si>
    <t>Woodworking, General.</t>
  </si>
  <si>
    <t>Furniture Design and Manufacturing.</t>
  </si>
  <si>
    <t>Cabinetmaking and Millwork.</t>
  </si>
  <si>
    <t>Woodworking, Other.</t>
  </si>
  <si>
    <t>Boilermaking/Boilermaker.</t>
  </si>
  <si>
    <t>Precision Production, Other.</t>
  </si>
  <si>
    <t>TRANSPORTATION AND MATERIALS MOVING.</t>
  </si>
  <si>
    <t>Air Transportation.</t>
  </si>
  <si>
    <t>Aeronautics/Aviation/Aerospace Science and Technology, General.</t>
  </si>
  <si>
    <t>Airline/Commercial/Professional Pilot and Flight Crew.</t>
  </si>
  <si>
    <t>Aviation/Airway Management and Operations.</t>
  </si>
  <si>
    <t>Air Traffic Controller.</t>
  </si>
  <si>
    <t>Airline Flight Attendant.</t>
  </si>
  <si>
    <t>Flight Instructor.</t>
  </si>
  <si>
    <t>Air Transportation, Other.</t>
  </si>
  <si>
    <t>Ground Transportation.</t>
  </si>
  <si>
    <t>Construction/Heavy Equipment/Earthmoving Equipment Operation.</t>
  </si>
  <si>
    <t>Truck and Bus Driver/Commercial Vehicle Operator and Instructor.</t>
  </si>
  <si>
    <t>Flagging and Traffic Control.</t>
  </si>
  <si>
    <t>Railroad and Railway Transportation.</t>
  </si>
  <si>
    <t>Ground Transportation, Other.</t>
  </si>
  <si>
    <t>Marine Transportation.</t>
  </si>
  <si>
    <t>Commercial Fishing.</t>
  </si>
  <si>
    <t>Diver, Professional and Instructor.</t>
  </si>
  <si>
    <t>Marine Science/Merchant Marine Officer.</t>
  </si>
  <si>
    <t>Marine Transportation, Other.</t>
  </si>
  <si>
    <t>Transportation and Materials Moving, Other.</t>
  </si>
  <si>
    <t>VISUAL AND PERFORMING ARTS.</t>
  </si>
  <si>
    <t>Visual and Performing Arts, General.</t>
  </si>
  <si>
    <t>Digital Arts.</t>
  </si>
  <si>
    <t>Crafts/Craft Design, Folk Art and Artisanry.</t>
  </si>
  <si>
    <t>Dance.</t>
  </si>
  <si>
    <t>Dance, General.</t>
  </si>
  <si>
    <t>Ballet.</t>
  </si>
  <si>
    <t>Dance, Other.</t>
  </si>
  <si>
    <t>Design and Applied Arts.</t>
  </si>
  <si>
    <t>Design and Visual Communications, General.</t>
  </si>
  <si>
    <t>Commercial and Advertising Art.</t>
  </si>
  <si>
    <t>Industrial and Product Design.</t>
  </si>
  <si>
    <t>Commercial Photography.</t>
  </si>
  <si>
    <t>Fashion/Apparel Design.</t>
  </si>
  <si>
    <t>Interior Design.</t>
  </si>
  <si>
    <t>Graphic Design.</t>
  </si>
  <si>
    <t>Illustration.</t>
  </si>
  <si>
    <t>Game and Interactive Media Design.</t>
  </si>
  <si>
    <t>Design and Applied Arts, Other.</t>
  </si>
  <si>
    <t>Drama/Theatre Arts and Stagecraft.</t>
  </si>
  <si>
    <t>Drama and Dramatics/Theatre Arts, General.</t>
  </si>
  <si>
    <t>Technical Theatre/Theatre Design and Technology.</t>
  </si>
  <si>
    <t>Playwriting and Screenwriting.</t>
  </si>
  <si>
    <t>Theatre Literature, History and Criticism.</t>
  </si>
  <si>
    <t>Acting.</t>
  </si>
  <si>
    <t>Directing and Theatrical Production.</t>
  </si>
  <si>
    <t>Theatre/Theatre Arts Management.</t>
  </si>
  <si>
    <t>Musical Theatre.</t>
  </si>
  <si>
    <t>Costume Design.</t>
  </si>
  <si>
    <t>Dramatic/Theatre Arts and Stagecraft, Other.</t>
  </si>
  <si>
    <t>Film/Video and Photographic Arts.</t>
  </si>
  <si>
    <t>Cinematography and Film/Video Production.</t>
  </si>
  <si>
    <t>Photography.</t>
  </si>
  <si>
    <t>Documentary Production.</t>
  </si>
  <si>
    <t>Film/Video and Photographic Arts, Other.</t>
  </si>
  <si>
    <t>Fine and Studio Arts.</t>
  </si>
  <si>
    <t>Art/Art Studies, General.</t>
  </si>
  <si>
    <t>Fine/Studio Arts, General.</t>
  </si>
  <si>
    <t>Art History, Criticism and Conservation.</t>
  </si>
  <si>
    <t>Drawing.</t>
  </si>
  <si>
    <t>Intermedia/Multimedia.</t>
  </si>
  <si>
    <t>Painting.</t>
  </si>
  <si>
    <t>Sculpture.</t>
  </si>
  <si>
    <t>Printmaking.</t>
  </si>
  <si>
    <t>Ceramic Arts and Ceramics.</t>
  </si>
  <si>
    <t>Fiber, Textile and Weaving Arts.</t>
  </si>
  <si>
    <t>Fine Arts and Art Studies, Other.</t>
  </si>
  <si>
    <t>Music, General.</t>
  </si>
  <si>
    <t>Music History, Literature, and Theory.</t>
  </si>
  <si>
    <t>Music Performance, General.</t>
  </si>
  <si>
    <t>Music Theory and Composition.</t>
  </si>
  <si>
    <t>Musicology and Ethnomusicology.</t>
  </si>
  <si>
    <t>Conducting.</t>
  </si>
  <si>
    <t>Keyboard Instruments.</t>
  </si>
  <si>
    <t>Voice and Opera.</t>
  </si>
  <si>
    <t>Jazz/Jazz Studies.</t>
  </si>
  <si>
    <t>Stringed Instruments.</t>
  </si>
  <si>
    <t>Music Pedagogy.</t>
  </si>
  <si>
    <t>Music Technology.</t>
  </si>
  <si>
    <t>Brass Instruments.</t>
  </si>
  <si>
    <t>Woodwind Instruments.</t>
  </si>
  <si>
    <t>Percussion Instruments.</t>
  </si>
  <si>
    <t>Music, Other.</t>
  </si>
  <si>
    <t>Fine and Studio Arts Management.</t>
  </si>
  <si>
    <t>Music Management.</t>
  </si>
  <si>
    <t>Arts, Entertainment, and Media Management, Other.</t>
  </si>
  <si>
    <t>Visual and Performing Arts, Other.</t>
  </si>
  <si>
    <t>HEALTH PROFESSIONS AND RELATED PROGRAMS.</t>
  </si>
  <si>
    <t>Health Services/Allied Health/Health Sciences, General.</t>
  </si>
  <si>
    <t>Health and Wellness, General.</t>
  </si>
  <si>
    <t>Chiropractic.</t>
  </si>
  <si>
    <t>Communication Disorders Sciences and Services.</t>
  </si>
  <si>
    <t>Communication Sciences and Disorders, General.</t>
  </si>
  <si>
    <t>Audiology/Audiologist.</t>
  </si>
  <si>
    <t>Speech-Language Pathology/Pathologist.</t>
  </si>
  <si>
    <t>Audiology/Audiologist and Speech-Language Pathology/Pathologist.</t>
  </si>
  <si>
    <t>Communication Disorders Sciences and Services, Other.</t>
  </si>
  <si>
    <t>Dentistry.</t>
  </si>
  <si>
    <t>Advanced/Graduate Dentistry and Oral Sciences.</t>
  </si>
  <si>
    <t>Dental Clinical Sciences, General.</t>
  </si>
  <si>
    <t>Advanced General Dentistry.</t>
  </si>
  <si>
    <t>Oral Biology and Oral and Maxillofacial Pathology.</t>
  </si>
  <si>
    <t>Dental Public Health and Education.</t>
  </si>
  <si>
    <t>Dental Materials.</t>
  </si>
  <si>
    <t>Endodontics/Endodontology.</t>
  </si>
  <si>
    <t>Oral/Maxillofacial Surgery.</t>
  </si>
  <si>
    <t>Orthodontics/Orthodontology.</t>
  </si>
  <si>
    <t>Pediatric Dentistry/Pedodontics.</t>
  </si>
  <si>
    <t>Periodontics/Periodontology.</t>
  </si>
  <si>
    <t>Prosthodontics/Prosthodontology.</t>
  </si>
  <si>
    <t>Advanced/Graduate Dentistry and Oral Sciences, Other.</t>
  </si>
  <si>
    <t>Dental Support Services and Allied Professions.</t>
  </si>
  <si>
    <t>Dental Assisting/Assistant.</t>
  </si>
  <si>
    <t>Dental Hygiene/Hygienist.</t>
  </si>
  <si>
    <t>Dental Laboratory Technology/Technician.</t>
  </si>
  <si>
    <t>Dental Services and Allied Professions, Other.</t>
  </si>
  <si>
    <t>Health and Medical Administrative Services.</t>
  </si>
  <si>
    <t>Health/Health Care Administration/Management.</t>
  </si>
  <si>
    <t>Hospital and Health Care Facilities Administration/Management.</t>
  </si>
  <si>
    <t>Health Unit Coordinator/Ward Clerk.</t>
  </si>
  <si>
    <t>Health Unit Manager/Ward Supervisor.</t>
  </si>
  <si>
    <t>Medical Office Management/Administration.</t>
  </si>
  <si>
    <t>Health Information/Medical Records Administration/Administrator.</t>
  </si>
  <si>
    <t>Health Information/Medical Records Technology/Technician.</t>
  </si>
  <si>
    <t>Medical Transcription/Transcriptionist.</t>
  </si>
  <si>
    <t>Medical Office Computer Specialist/Assistant.</t>
  </si>
  <si>
    <t>Medical Office Assistant/Specialist.</t>
  </si>
  <si>
    <t>Medical/Health Management and Clinical Assistant/Specialist.</t>
  </si>
  <si>
    <t>Medical Reception/Receptionist.</t>
  </si>
  <si>
    <t>Medical Insurance Coding Specialist/Coder.</t>
  </si>
  <si>
    <t>Medical Insurance Specialist/Medical Biller.</t>
  </si>
  <si>
    <t>Health/Medical Claims Examiner.</t>
  </si>
  <si>
    <t>Medical Administrative/Executive Assistant and Medical Secretary.</t>
  </si>
  <si>
    <t>Medical Staff Services Technology/Technician.</t>
  </si>
  <si>
    <t>Long Term Care Administration/Management.</t>
  </si>
  <si>
    <t>Clinical Research Coordinator.</t>
  </si>
  <si>
    <t>Health and Medical Administrative Services, Other.</t>
  </si>
  <si>
    <t>Allied Health and Medical Assisting Services.</t>
  </si>
  <si>
    <t>Medical/Clinical Assistant.</t>
  </si>
  <si>
    <t>Clinical/Medical Laboratory Assistant.</t>
  </si>
  <si>
    <t>Occupational Therapist Assistant.</t>
  </si>
  <si>
    <t>Pharmacy Technician/Assistant.</t>
  </si>
  <si>
    <t>Veterinary/Animal Health Technology/Technician and Veterinary Assistant.</t>
  </si>
  <si>
    <t>Anesthesiologist Assistant.</t>
  </si>
  <si>
    <t>Emergency Care Attendant (EMT Ambulance).</t>
  </si>
  <si>
    <t>Pathology/Pathologist Assistant.</t>
  </si>
  <si>
    <t>Respiratory Therapy Technician/Assistant.</t>
  </si>
  <si>
    <t>Radiologist Assistant.</t>
  </si>
  <si>
    <t>Lactation Consultant.</t>
  </si>
  <si>
    <t>Speech-Language Pathology Assistant.</t>
  </si>
  <si>
    <t>Allied Health and Medical Assisting Services, Other.</t>
  </si>
  <si>
    <t>Allied Health Diagnostic, Intervention, and Treatment Professions.</t>
  </si>
  <si>
    <t>Cardiovascular Technology/Technologist.</t>
  </si>
  <si>
    <t>Electrocardiograph Technology/Technician.</t>
  </si>
  <si>
    <t>Electroneurodiagnostic/Electroencephalographic Technology/Technologist.</t>
  </si>
  <si>
    <t>Emergency Medical Technology/Technician (EMT Paramedic).</t>
  </si>
  <si>
    <t>Nuclear Medical Technology/Technologist.</t>
  </si>
  <si>
    <t>Perfusion Technology/Perfusionist.</t>
  </si>
  <si>
    <t>Medical Radiologic Technology/Science - Radiation Therapist.</t>
  </si>
  <si>
    <t>Respiratory Care Therapy/Therapist.</t>
  </si>
  <si>
    <t>Surgical Technology/Technologist.</t>
  </si>
  <si>
    <t>Diagnostic Medical Sonography/Sonographer and Ultrasound Technician.</t>
  </si>
  <si>
    <t>Radiologic Technology/Science - Radiographer.</t>
  </si>
  <si>
    <t>Athletic Training/Trainer.</t>
  </si>
  <si>
    <t>Gene/Genetic Therapy.</t>
  </si>
  <si>
    <t>Cardiopulmonary Technology/Technologist.</t>
  </si>
  <si>
    <t>Radiation Protection/Health Physics Technician.</t>
  </si>
  <si>
    <t>Polysomnography.</t>
  </si>
  <si>
    <t>Hearing Instrument Specialist.</t>
  </si>
  <si>
    <t>Magnetic Resonance Imaging (MRI) Technology/Technician.</t>
  </si>
  <si>
    <t>Allied Health Diagnostic, Intervention, and Treatment Professions, Other.</t>
  </si>
  <si>
    <t>Clinical/Medical Laboratory Science/Research and Allied Professions.</t>
  </si>
  <si>
    <t>Blood Bank Technology Specialist.</t>
  </si>
  <si>
    <t>Cytotechnology/Cytotechnologist.</t>
  </si>
  <si>
    <t>Hematology Technology/Technician.</t>
  </si>
  <si>
    <t>Clinical/Medical Laboratory Technician.</t>
  </si>
  <si>
    <t>Clinical Laboratory Science/Medical Technology/Technologist.</t>
  </si>
  <si>
    <t>Ophthalmic Laboratory Technology/Technician.</t>
  </si>
  <si>
    <t>Histologic Technology/Histotechnologist.</t>
  </si>
  <si>
    <t>Histologic Technician.</t>
  </si>
  <si>
    <t>Phlebotomy Technician/Phlebotomist.</t>
  </si>
  <si>
    <t>Cytogenetics/Genetics/Clinical Genetics Technology/Technologist.</t>
  </si>
  <si>
    <t>Renal/Dialysis Technologist/Technician.</t>
  </si>
  <si>
    <t>Sterile Processing Technology/Technician.</t>
  </si>
  <si>
    <t>Clinical/Medical Laboratory Science and Allied Professions, Other.</t>
  </si>
  <si>
    <t>Health/Medical Preparatory Programs.</t>
  </si>
  <si>
    <t>Pre-Dentistry Studies.</t>
  </si>
  <si>
    <t>Pre-Medicine/Pre-Medical Studies.</t>
  </si>
  <si>
    <t>Pre-Pharmacy Studies.</t>
  </si>
  <si>
    <t>Pre-Veterinary Studies.</t>
  </si>
  <si>
    <t>Pre-Nursing Studies.</t>
  </si>
  <si>
    <t>Pre-Chiropractic Studies.</t>
  </si>
  <si>
    <t>Pre-Occupational Therapy Studies.</t>
  </si>
  <si>
    <t>Pre-Optometry Studies.</t>
  </si>
  <si>
    <t>Pre-Physical Therapy Studies.</t>
  </si>
  <si>
    <t>Health/Medical Preparatory Programs, Other.</t>
  </si>
  <si>
    <t>Medicine.</t>
  </si>
  <si>
    <t>Medical Clinical Sciences/Graduate Medical Studies.</t>
  </si>
  <si>
    <t>Mental and Social Health Services and Allied Professions.</t>
  </si>
  <si>
    <t>Substance Abuse/Addiction Counseling.</t>
  </si>
  <si>
    <t>Psychiatric/Mental Health Services Technician.</t>
  </si>
  <si>
    <t>Clinical/Medical Social Work.</t>
  </si>
  <si>
    <t>Community Health Services/Liaison/Counseling.</t>
  </si>
  <si>
    <t>Marriage and Family Therapy/Counseling.</t>
  </si>
  <si>
    <t>Clinical Pastoral Counseling/Patient Counseling.</t>
  </si>
  <si>
    <t>Psychoanalysis and Psychotherapy.</t>
  </si>
  <si>
    <t>Mental Health Counseling/Counselor.</t>
  </si>
  <si>
    <t>Genetic Counseling/Counselor.</t>
  </si>
  <si>
    <t>Mental and Social Health Services and Allied Professions, Other.</t>
  </si>
  <si>
    <t>Adult Health Nurse/Nursing.</t>
  </si>
  <si>
    <t>Nurse Anesthetist.</t>
  </si>
  <si>
    <t>Maternal/Child Health and Neonatal Nurse/Nursing.</t>
  </si>
  <si>
    <t>Nurse Midwife/Nursing Midwifery.</t>
  </si>
  <si>
    <t>Pediatric Nurse/Nursing.</t>
  </si>
  <si>
    <t>Psychiatric/Mental Health Nurse/Nursing.</t>
  </si>
  <si>
    <t>Public Health/Community Nurse/Nursing.</t>
  </si>
  <si>
    <t>Perioperative/Operating Room and Surgical Nurse/Nursing.</t>
  </si>
  <si>
    <t>Clinical Nurse Specialist.</t>
  </si>
  <si>
    <t>Critical Care Nursing.</t>
  </si>
  <si>
    <t>Occupational and Environmental Health Nursing.</t>
  </si>
  <si>
    <t>Optometry.</t>
  </si>
  <si>
    <t>Ophthalmic and Optometric Support Services and Allied Professions.</t>
  </si>
  <si>
    <t>Opticianry/Ophthalmic Dispensing Optician.</t>
  </si>
  <si>
    <t>Optometric Technician/Assistant.</t>
  </si>
  <si>
    <t>Ophthalmic Technician/Technologist.</t>
  </si>
  <si>
    <t>Orthoptics/Orthoptist.</t>
  </si>
  <si>
    <t>Ophthalmic and Optometric Support Services and Allied Professions, Other.</t>
  </si>
  <si>
    <t>Osteopathic Medicine/Osteopathy.</t>
  </si>
  <si>
    <t>Pharmacy, Pharmaceutical Sciences, and Administration.</t>
  </si>
  <si>
    <t>Pharmacy.</t>
  </si>
  <si>
    <t>Pharmacy Administration and Pharmacy Policy and Regulatory Affairs.</t>
  </si>
  <si>
    <t>Pharmaceutics and Drug Design.</t>
  </si>
  <si>
    <t>Medicinal and Pharmaceutical Chemistry.</t>
  </si>
  <si>
    <t>Natural Products Chemistry and Pharmacognosy.</t>
  </si>
  <si>
    <t>Clinical and Industrial Drug Development.</t>
  </si>
  <si>
    <t>Pharmacoeconomics/Pharmaceutical Economics.</t>
  </si>
  <si>
    <t>Clinical, Hospital, and Managed Care Pharmacy.</t>
  </si>
  <si>
    <t>Industrial and Physical Pharmacy and Cosmetic Sciences.</t>
  </si>
  <si>
    <t>Pharmaceutical Sciences.</t>
  </si>
  <si>
    <t>Pharmaceutical Marketing and Management.</t>
  </si>
  <si>
    <t>Pharmacy, Pharmaceutical Sciences, and Administration, Other.</t>
  </si>
  <si>
    <t>Podiatric Medicine/Podiatry.</t>
  </si>
  <si>
    <t>Public Health.</t>
  </si>
  <si>
    <t>Public Health, General.</t>
  </si>
  <si>
    <t>Environmental Health.</t>
  </si>
  <si>
    <t>Health/Medical  Physics.</t>
  </si>
  <si>
    <t>Occupational Health and Industrial Hygiene.</t>
  </si>
  <si>
    <t>Public Health Education and Promotion.</t>
  </si>
  <si>
    <t>Community Health and Preventive Medicine.</t>
  </si>
  <si>
    <t>Maternal and Child Health.</t>
  </si>
  <si>
    <t>International Public Health/International Health.</t>
  </si>
  <si>
    <t>Health Services Administration.</t>
  </si>
  <si>
    <t>Behavioral Aspects of Health.</t>
  </si>
  <si>
    <t>Public Health, Other.</t>
  </si>
  <si>
    <t>Rehabilitation and Therapeutic Professions.</t>
  </si>
  <si>
    <t>Art Therapy/Therapist.</t>
  </si>
  <si>
    <t>Dance Therapy/Therapist.</t>
  </si>
  <si>
    <t>Music Therapy/Therapist.</t>
  </si>
  <si>
    <t>Occupational Therapy/Therapist.</t>
  </si>
  <si>
    <t>Orthotist/Prosthetist.</t>
  </si>
  <si>
    <t>Physical Therapy/Therapist.</t>
  </si>
  <si>
    <t>Therapeutic Recreation/Recreational Therapy.</t>
  </si>
  <si>
    <t>Vocational Rehabilitation Counseling/Counselor.</t>
  </si>
  <si>
    <t>Kinesiotherapy/Kinesiotherapist.</t>
  </si>
  <si>
    <t>Assistive/Augmentative Technology and Rehabilitation Engineering.</t>
  </si>
  <si>
    <t>Animal-Assisted Therapy.</t>
  </si>
  <si>
    <t>Rehabilitation Science.</t>
  </si>
  <si>
    <t>Rehabilitation and Therapeutic Professions, Other.</t>
  </si>
  <si>
    <t>Veterinary Medicine.</t>
  </si>
  <si>
    <t>Veterinary Biomedical and Clinical Sciences.</t>
  </si>
  <si>
    <t>Veterinary Sciences/Veterinary Clinical Sciences, General.</t>
  </si>
  <si>
    <t>Veterinary Anatomy.</t>
  </si>
  <si>
    <t>Veterinary Physiology.</t>
  </si>
  <si>
    <t>Veterinary Microbiology and Immunobiology.</t>
  </si>
  <si>
    <t>Veterinary Pathology and Pathobiology.</t>
  </si>
  <si>
    <t>Veterinary Toxicology and Pharmacology.</t>
  </si>
  <si>
    <t>Large Animal/Food Animal and Equine Surgery and Medicine.</t>
  </si>
  <si>
    <t>Small/Companion Animal Surgery and Medicine.</t>
  </si>
  <si>
    <t>Comparative and Laboratory Animal Medicine.</t>
  </si>
  <si>
    <t>Veterinary Preventive Medicine, Epidemiology, and Public Health.</t>
  </si>
  <si>
    <t>Veterinary Infectious Diseases.</t>
  </si>
  <si>
    <t>Veterinary Biomedical and Clinical Sciences, Other.</t>
  </si>
  <si>
    <t>Health Aides/Attendants/Orderlies.</t>
  </si>
  <si>
    <t>Health Aide.</t>
  </si>
  <si>
    <t>Home Health Aide/Home Attendant.</t>
  </si>
  <si>
    <t>Medication Aide.</t>
  </si>
  <si>
    <t>Rehabilitation Aide.</t>
  </si>
  <si>
    <t>Health Aides/Attendants/Orderlies, Other.</t>
  </si>
  <si>
    <t>Medical Illustration and Informatics.</t>
  </si>
  <si>
    <t>Medical Illustration/Medical Illustrator.</t>
  </si>
  <si>
    <t>Medical Informatics.</t>
  </si>
  <si>
    <t>Medical Illustration and Informatics, Other.</t>
  </si>
  <si>
    <t>Dietetics and Clinical Nutrition Services.</t>
  </si>
  <si>
    <t>Dietetics/Dietitian.</t>
  </si>
  <si>
    <t>Clinical Nutrition/Nutritionist.</t>
  </si>
  <si>
    <t>Dietetic Technician.</t>
  </si>
  <si>
    <t>Dietitian Assistant.</t>
  </si>
  <si>
    <t>Dietetics and Clinical Nutrition Services, Other.</t>
  </si>
  <si>
    <t>Bioethics/Medical Ethics.</t>
  </si>
  <si>
    <t>Alternative and Complementary Medicine and Medical Systems.</t>
  </si>
  <si>
    <t>Alternative and Complementary Medicine and Medical Systems, General.</t>
  </si>
  <si>
    <t>Acupuncture and Oriental Medicine.</t>
  </si>
  <si>
    <t>Traditional Chinese Medicine and Chinese Herbology.</t>
  </si>
  <si>
    <t>Naturopathic Medicine/Naturopathy.</t>
  </si>
  <si>
    <t>Homeopathic Medicine/Homeopathy.</t>
  </si>
  <si>
    <t>Ayurvedic Medicine/Ayurveda.</t>
  </si>
  <si>
    <t>Alternative and Complementary Medicine and Medical Systems, Other.</t>
  </si>
  <si>
    <t>Alternative and Complementary Medical Support Services.</t>
  </si>
  <si>
    <t>Direct Entry Midwifery.</t>
  </si>
  <si>
    <t>Alternative and Complementary Medical Support Services, Other.</t>
  </si>
  <si>
    <t>Somatic Bodywork and Related Therapeutic Services.</t>
  </si>
  <si>
    <t>Massage Therapy/Therapeutic Massage.</t>
  </si>
  <si>
    <t>Asian Bodywork Therapy.</t>
  </si>
  <si>
    <t>Somatic Bodywork.</t>
  </si>
  <si>
    <t>Somatic Bodywork and Related Therapeutic Services, Other.</t>
  </si>
  <si>
    <t>Movement and Mind-Body Therapies and Education.</t>
  </si>
  <si>
    <t>Movement Therapy and Movement Education.</t>
  </si>
  <si>
    <t>Yoga Teacher Training/Yoga Therapy.</t>
  </si>
  <si>
    <t>Hypnotherapy/Hypnotherapist.</t>
  </si>
  <si>
    <t>Movement and Mind-Body Therapies and Education, Other.</t>
  </si>
  <si>
    <t>Energy and Biologically Based Therapies.</t>
  </si>
  <si>
    <t>Aromatherapy.</t>
  </si>
  <si>
    <t>Herbalism/Herbalist.</t>
  </si>
  <si>
    <t>Polarity Therapy.</t>
  </si>
  <si>
    <t>Reiki.</t>
  </si>
  <si>
    <t>Energy and Biologically Based Therapies, Other.</t>
  </si>
  <si>
    <t>Registered Nursing, Nursing Administration, Nursing Research and Clinical Nursing.</t>
  </si>
  <si>
    <t>Registered Nursing/Registered Nurse.</t>
  </si>
  <si>
    <t>Nursing Administration.</t>
  </si>
  <si>
    <t>Family Practice Nurse/Nursing.</t>
  </si>
  <si>
    <t>Nursing Science.</t>
  </si>
  <si>
    <t>Emergency Room/Trauma Nursing.</t>
  </si>
  <si>
    <t>Nursing Education.</t>
  </si>
  <si>
    <t>Nursing Practice.</t>
  </si>
  <si>
    <t>Palliative Care Nursing.</t>
  </si>
  <si>
    <t>Clinical Nurse Leader.</t>
  </si>
  <si>
    <t>Geriatric Nurse/Nursing.</t>
  </si>
  <si>
    <t>Women's Health Nurse/Nursing.</t>
  </si>
  <si>
    <t>Registered Nursing, Nursing Administration, Nursing Research and Clinical Nursing, Other.</t>
  </si>
  <si>
    <t>Practical Nursing, Vocational Nursing and Nursing Assistants.</t>
  </si>
  <si>
    <t>Licensed Practical/Vocational Nurse Training.</t>
  </si>
  <si>
    <t>Nursing Assistant/Aide and Patient Care Assistant/Aide.</t>
  </si>
  <si>
    <t>Practical Nursing, Vocational Nursing and Nursing Assistants, Other.</t>
  </si>
  <si>
    <t>Health Professions and Related Clinical Sciences, Other.</t>
  </si>
  <si>
    <t>BUSINESS, MANAGEMENT, MARKETING, AND RELATED SUPPORT SERVICES.</t>
  </si>
  <si>
    <t>Business/Commerce, General.</t>
  </si>
  <si>
    <t>Business Administration, Management and Operations.</t>
  </si>
  <si>
    <t>Business Administration and Management, General.</t>
  </si>
  <si>
    <t>Purchasing, Procurement/Acquisitions and Contracts Management.</t>
  </si>
  <si>
    <t>Logistics, Materials, and Supply Chain Management.</t>
  </si>
  <si>
    <t>Office Management and Supervision.</t>
  </si>
  <si>
    <t>Operations Management and Supervision.</t>
  </si>
  <si>
    <t>Non-Profit/Public/Organizational Management.</t>
  </si>
  <si>
    <t>Customer Service Management.</t>
  </si>
  <si>
    <t>E-Commerce/Electronic Commerce.</t>
  </si>
  <si>
    <t>Transportation/Mobility Management.</t>
  </si>
  <si>
    <t>Research and Development Management.</t>
  </si>
  <si>
    <t>Project Management.</t>
  </si>
  <si>
    <t>Retail Management.</t>
  </si>
  <si>
    <t>Organizational Leadership.</t>
  </si>
  <si>
    <t>Business Administration, Management and Operations, Other.</t>
  </si>
  <si>
    <t>Accounting and Related Services.</t>
  </si>
  <si>
    <t>Accounting.</t>
  </si>
  <si>
    <t>Accounting Technology/Technician and Bookkeeping.</t>
  </si>
  <si>
    <t>Auditing.</t>
  </si>
  <si>
    <t>Accounting and Finance.</t>
  </si>
  <si>
    <t>Accounting and Business/Management.</t>
  </si>
  <si>
    <t>Accounting and Related Services, Other.</t>
  </si>
  <si>
    <t>Business Operations Support and Assistant Services.</t>
  </si>
  <si>
    <t>Administrative Assistant and Secretarial Science, General.</t>
  </si>
  <si>
    <t>Executive Assistant/Executive Secretary.</t>
  </si>
  <si>
    <t>Receptionist.</t>
  </si>
  <si>
    <t>Business/Office Automation/Technology/Data Entry.</t>
  </si>
  <si>
    <t>General Office Occupations and Clerical Services.</t>
  </si>
  <si>
    <t>Parts, Warehousing, and Inventory Management Operations.</t>
  </si>
  <si>
    <t>Traffic, Customs, and Transportation Clerk/Technician.</t>
  </si>
  <si>
    <t>Customer Service Support/Call Center/Teleservice Operation.</t>
  </si>
  <si>
    <t>Business Operations Support and Secretarial Services, Other.</t>
  </si>
  <si>
    <t>Business/Corporate Communications.</t>
  </si>
  <si>
    <t>Business/Managerial Economics.</t>
  </si>
  <si>
    <t>Entrepreneurial and Small Business Operations.</t>
  </si>
  <si>
    <t>Entrepreneurship/Entrepreneurial Studies.</t>
  </si>
  <si>
    <t>Franchising and Franchise Operations.</t>
  </si>
  <si>
    <t>Small Business Administration/Management.</t>
  </si>
  <si>
    <t>Entrepreneurial and Small Business Operations, Other.</t>
  </si>
  <si>
    <t>Finance and Financial Management Services.</t>
  </si>
  <si>
    <t>Finance, General.</t>
  </si>
  <si>
    <t>Banking and Financial Support Services.</t>
  </si>
  <si>
    <t>Financial Planning and Services.</t>
  </si>
  <si>
    <t>International Finance.</t>
  </si>
  <si>
    <t>Investments and Securities.</t>
  </si>
  <si>
    <t>Public Finance.</t>
  </si>
  <si>
    <t>Credit Management.</t>
  </si>
  <si>
    <t>Finance and Financial Management Services, Other.</t>
  </si>
  <si>
    <t>Hospitality Administration/Management.</t>
  </si>
  <si>
    <t>Hospitality Administration/Management, General.</t>
  </si>
  <si>
    <t>Tourism and Travel Services Management.</t>
  </si>
  <si>
    <t>Hotel/Motel Administration/Management.</t>
  </si>
  <si>
    <t>Restaurant/Food Services Management.</t>
  </si>
  <si>
    <t>Resort Management.</t>
  </si>
  <si>
    <t>Meeting and Event Planning.</t>
  </si>
  <si>
    <t>Casino Management.</t>
  </si>
  <si>
    <t>Hotel, Motel, and Restaurant Management.</t>
  </si>
  <si>
    <t>Hospitality Administration/Management, Other.</t>
  </si>
  <si>
    <t>Human Resources Management and Services.</t>
  </si>
  <si>
    <t>Human Resources Management/Personnel Administration, General.</t>
  </si>
  <si>
    <t>Labor and Industrial Relations.</t>
  </si>
  <si>
    <t>Organizational Behavior Studies.</t>
  </si>
  <si>
    <t>Labor Studies.</t>
  </si>
  <si>
    <t>Human Resources Development.</t>
  </si>
  <si>
    <t>Human Resources Management and Services, Other.</t>
  </si>
  <si>
    <t>International Business.</t>
  </si>
  <si>
    <t>Management Information Systems and Services.</t>
  </si>
  <si>
    <t>Management Information Systems, General.</t>
  </si>
  <si>
    <t>Information Resources Management.</t>
  </si>
  <si>
    <t>Knowledge Management.</t>
  </si>
  <si>
    <t>Management Information Systems and Services, Other.</t>
  </si>
  <si>
    <t>Management Sciences and Quantitative Methods.</t>
  </si>
  <si>
    <t>Management Science.</t>
  </si>
  <si>
    <t>Business Statistics.</t>
  </si>
  <si>
    <t>Actuarial Science.</t>
  </si>
  <si>
    <t>Management Sciences and Quantitative Methods, Other.</t>
  </si>
  <si>
    <t>Marketing.</t>
  </si>
  <si>
    <t>Marketing/Marketing Management, General.</t>
  </si>
  <si>
    <t>Marketing Research.</t>
  </si>
  <si>
    <t>International Marketing.</t>
  </si>
  <si>
    <t>Marketing, Other.</t>
  </si>
  <si>
    <t>Real Estate.</t>
  </si>
  <si>
    <t>Taxation.</t>
  </si>
  <si>
    <t>Insurance.</t>
  </si>
  <si>
    <t>General Sales, Merchandising and Related Marketing Operations.</t>
  </si>
  <si>
    <t>Sales, Distribution, and Marketing Operations, General.</t>
  </si>
  <si>
    <t>Merchandising and Buying Operations.</t>
  </si>
  <si>
    <t>Retailing and Retail Operations.</t>
  </si>
  <si>
    <t>Selling Skills and Sales Operations.</t>
  </si>
  <si>
    <t>General Merchandising, Sales, and Related Marketing Operations, Other.</t>
  </si>
  <si>
    <t>Specialized Sales, Merchandising and  Marketing Operations.</t>
  </si>
  <si>
    <t>Auctioneering.</t>
  </si>
  <si>
    <t>Fashion Merchandising.</t>
  </si>
  <si>
    <t>Fashion Modeling.</t>
  </si>
  <si>
    <t>Apparel and Accessories Marketing Operations.</t>
  </si>
  <si>
    <t>Tourism and Travel Services Marketing Operations.</t>
  </si>
  <si>
    <t>Tourism Promotion Operations.</t>
  </si>
  <si>
    <t>Vehicle and Vehicle Parts and Accessories Marketing Operations.</t>
  </si>
  <si>
    <t>Business and Personal/Financial Services Marketing Operations.</t>
  </si>
  <si>
    <t>Special Products Marketing Operations.</t>
  </si>
  <si>
    <t>Hospitality and Recreation Marketing Operations.</t>
  </si>
  <si>
    <t>Specialized Merchandising, Sales, and Marketing Operations, Other.</t>
  </si>
  <si>
    <t>Construction Management.</t>
  </si>
  <si>
    <t>Telecommunications Management.</t>
  </si>
  <si>
    <t>Business, Management, Marketing, and Related Support Services, Other.</t>
  </si>
  <si>
    <t>HISTORY.</t>
  </si>
  <si>
    <t>History.</t>
  </si>
  <si>
    <t>History, General.</t>
  </si>
  <si>
    <t>American  History (United States).</t>
  </si>
  <si>
    <t>European History.</t>
  </si>
  <si>
    <t>History and Philosophy of Science and Technology.</t>
  </si>
  <si>
    <t>Public/Applied History.</t>
  </si>
  <si>
    <t>Asian History.</t>
  </si>
  <si>
    <t>Canadian History.</t>
  </si>
  <si>
    <t>Military History.</t>
  </si>
  <si>
    <t>History, Other.</t>
  </si>
  <si>
    <t>Men</t>
  </si>
  <si>
    <t>Women</t>
  </si>
  <si>
    <t>American Indian or Alaska Native</t>
  </si>
  <si>
    <t>Asian</t>
  </si>
  <si>
    <t>Black or African American</t>
  </si>
  <si>
    <t>Hispanic or Latino</t>
  </si>
  <si>
    <t>Native Hawaiian or other Pacific Islander</t>
  </si>
  <si>
    <t>White</t>
  </si>
  <si>
    <t>Two or more races</t>
  </si>
  <si>
    <t>Nonresident alien</t>
  </si>
  <si>
    <t>CIP Codes</t>
  </si>
  <si>
    <t>Non-Binary</t>
  </si>
  <si>
    <t>AGRICULTURAL/ANIMAL/PLANT/VETERINARY SCIENCE AND RELATED FIELDS.</t>
  </si>
  <si>
    <t>Agricultural Business Technology/Technician.</t>
  </si>
  <si>
    <t>Agricultural Mechanics and Equipment/Machine Technology/Technician.</t>
  </si>
  <si>
    <t>Irrigation Management Technology/Technician.</t>
  </si>
  <si>
    <t>Apiculture.</t>
  </si>
  <si>
    <t>Reserved.</t>
  </si>
  <si>
    <t>Farrier Science.</t>
  </si>
  <si>
    <t>Public Horticulture.</t>
  </si>
  <si>
    <t>Urban and Community Horticulture.</t>
  </si>
  <si>
    <t>Brewing Science.</t>
  </si>
  <si>
    <t>Zymology/Fermentation Science.</t>
  </si>
  <si>
    <t>Agriculture/Veterinary Preparatory Programs.</t>
  </si>
  <si>
    <t>Agriculture/Veterinary Preparatory Programs, Other.</t>
  </si>
  <si>
    <t>Veterinary Administrative Services.</t>
  </si>
  <si>
    <t>Veterinary Administrative Services, General.</t>
  </si>
  <si>
    <t>Veterinary Office Management/Administration.</t>
  </si>
  <si>
    <t>Veterinary Reception/Receptionist.</t>
  </si>
  <si>
    <t>Veterinary Administrative/Executive Assistant and Veterinary Secretary.</t>
  </si>
  <si>
    <t>Veterinary Administrative Services, Other.</t>
  </si>
  <si>
    <t>Veterinary/Animal Health Technologies/Technicians.</t>
  </si>
  <si>
    <t>Veterinary/Animal Health Technologies/Technicians, Other.</t>
  </si>
  <si>
    <t>Agricultural/Animal/Plant/Veterinary Science and Related Fields, Other.</t>
  </si>
  <si>
    <t>Environmental/Natural Resources Management and Policy.</t>
  </si>
  <si>
    <t>Environmental/Natural Resources Management and Policy, General.</t>
  </si>
  <si>
    <t>Environmental/Natural Resource Economics.</t>
  </si>
  <si>
    <t>Environmental/Natural Resource Recreation and Tourism.</t>
  </si>
  <si>
    <t>Environmental/Natural Resources Law Enforcement and Protective Services.</t>
  </si>
  <si>
    <t>Energy and Environmental Policy.</t>
  </si>
  <si>
    <t>Bioenergy.</t>
  </si>
  <si>
    <t>Environmental/Natural Resources Management and Policy, Other.</t>
  </si>
  <si>
    <t>Wood Science and Wood Products/Pulp and Paper Technology/Technician.</t>
  </si>
  <si>
    <t>Wildlife, Fish and Wildlands Science and Management.</t>
  </si>
  <si>
    <t>Pre-Architecture Studies.</t>
  </si>
  <si>
    <t>Architectural Design.</t>
  </si>
  <si>
    <t>Architecture, Other.</t>
  </si>
  <si>
    <t>City/Urban, Community, and Regional Planning.</t>
  </si>
  <si>
    <t>Environmental Design/Architecture.</t>
  </si>
  <si>
    <t>Healthcare Environment Design/Architecture.</t>
  </si>
  <si>
    <t>Sustainable Design/Architecture.</t>
  </si>
  <si>
    <t>Environmental Design, Other.</t>
  </si>
  <si>
    <t>Architectural History, Criticism, and Conservation.</t>
  </si>
  <si>
    <t>Architectural History and Criticism, General.</t>
  </si>
  <si>
    <t>Architectural Conservation.</t>
  </si>
  <si>
    <t>Architectural Studies.</t>
  </si>
  <si>
    <t>Architectural History, Criticism, and Conservation, Other.</t>
  </si>
  <si>
    <t>Regional Studies (U.S., Canadian, Foreign).</t>
  </si>
  <si>
    <t>Appalachian Studies.</t>
  </si>
  <si>
    <t>Arctic Studies.</t>
  </si>
  <si>
    <t>Comparative Group Studies.</t>
  </si>
  <si>
    <t>Area, Ethnic, Cultural, Gender, and Group Studies, Other.</t>
  </si>
  <si>
    <t>Business and Economic Journalism.</t>
  </si>
  <si>
    <t>Cultural Journalism.</t>
  </si>
  <si>
    <t>Science/Health/Environmental Journalism.</t>
  </si>
  <si>
    <t>Communication Management and Strategic Communications.</t>
  </si>
  <si>
    <t>Public Relations, Advertising, and Applied Communication, Other.</t>
  </si>
  <si>
    <t>Communications Technologies/Technicians.</t>
  </si>
  <si>
    <t>Photographic and Film/Video Technology/Technician.</t>
  </si>
  <si>
    <t>Voice Writing Technology/Technician.</t>
  </si>
  <si>
    <t>Animation, Interactive Technology, Video Graphics, and Special Effects.</t>
  </si>
  <si>
    <t>Human-Centered Technology Design.</t>
  </si>
  <si>
    <t>Computer Game Programming.</t>
  </si>
  <si>
    <t>Computer Programming, Specific Platforms.</t>
  </si>
  <si>
    <t>Data Processing and Data Processing Technology/Technician.</t>
  </si>
  <si>
    <t>Computer Systems Analysis/Analyst.</t>
  </si>
  <si>
    <t>Cloud Computing.</t>
  </si>
  <si>
    <t>Computer Systems Networking and Telecommunications, Other.</t>
  </si>
  <si>
    <t>Computer and Information Systems Security/Auditing/Information Assurance.</t>
  </si>
  <si>
    <t>CULINARY, ENTERTAINMENT, AND PERSONAL SERVICES.</t>
  </si>
  <si>
    <t>Casino Operations and Services.</t>
  </si>
  <si>
    <t>Casino Operations and Services, General.</t>
  </si>
  <si>
    <t>Casino Dealing.</t>
  </si>
  <si>
    <t>Casino Operations and Services, Other.</t>
  </si>
  <si>
    <t>Culinary, Entertainment, and Personal Services, Other.</t>
  </si>
  <si>
    <t>Community College Administration.</t>
  </si>
  <si>
    <t>International School Administration/Leadership.</t>
  </si>
  <si>
    <t>Education Entrepreneurship.</t>
  </si>
  <si>
    <t>Early Childhood Program Administration.</t>
  </si>
  <si>
    <t>Educational/Instructional Technology.</t>
  </si>
  <si>
    <t>Institutional Research.</t>
  </si>
  <si>
    <t>Education/Teaching of Individuals with Intellectual Disabilities.</t>
  </si>
  <si>
    <t>Online Educator/Online Teaching.</t>
  </si>
  <si>
    <t>International Teaching and Learning.</t>
  </si>
  <si>
    <t>Science, Technology, Engineering, and Mathematics (STEM) Educational Methods.</t>
  </si>
  <si>
    <t>College/Postsecondary/University Teaching.</t>
  </si>
  <si>
    <t>Business and Innovation/Entrepreneurship Teacher Education.</t>
  </si>
  <si>
    <t>Communication Arts and Literature Teacher Education.</t>
  </si>
  <si>
    <t>Applied Engineering.</t>
  </si>
  <si>
    <t>Aerospace, Aeronautical, and Astronautical/Space Engineering.</t>
  </si>
  <si>
    <t>Aerospace, Aeronautical, and Astronautical/Space Engineering, General.</t>
  </si>
  <si>
    <t>Astronautical Engineering.</t>
  </si>
  <si>
    <t>Aerospace, Aeronautical, and Astronautical/Space Engineering, Other.</t>
  </si>
  <si>
    <t>Bioengineering and Biomedical Engineering.</t>
  </si>
  <si>
    <t>Electrical, Electronics, and Communications Engineering.</t>
  </si>
  <si>
    <t>Electrical and Electronics Engineering.</t>
  </si>
  <si>
    <t>Electrical, Electronics, and Communications Engineering, Other.</t>
  </si>
  <si>
    <t>Engineering Physics/Applied Physics.</t>
  </si>
  <si>
    <t>Materials Engineering.</t>
  </si>
  <si>
    <t>Electrical and Computer Engineering.</t>
  </si>
  <si>
    <t>Energy Systems Engineering.</t>
  </si>
  <si>
    <t>Energy Systems Engineering, General.</t>
  </si>
  <si>
    <t>Power Plant Engineering.</t>
  </si>
  <si>
    <t>Energy Systems Engineering, Other.</t>
  </si>
  <si>
    <t>ENGINEERING/ENGINEERING-RELATED TECHNOLOGIES/TECHNICIANS.</t>
  </si>
  <si>
    <t>Engineering Technologies/Technicians, General.</t>
  </si>
  <si>
    <t>Applied Engineering Technologies/Technicians.</t>
  </si>
  <si>
    <t>Electrical/Electronic Engineering Technologies/Technicians.</t>
  </si>
  <si>
    <t>Electrical, Electronic, and Communications Engineering Technology/Technician.</t>
  </si>
  <si>
    <t>Integrated Circuit Design Technology/Technician.</t>
  </si>
  <si>
    <t>Audio Engineering Technology/Technician.</t>
  </si>
  <si>
    <t>Electrical/Electronic Engineering Technologies/Technicians, Other.</t>
  </si>
  <si>
    <t>Electromechanical Technologies/Technicians.</t>
  </si>
  <si>
    <t>Electromechanical/Electromechanical Engineering Technology/Technician.</t>
  </si>
  <si>
    <t>Mechatronics, Robotics, and Automation Engineering Technology/Technician.</t>
  </si>
  <si>
    <t>Electromechanical Technologies/Technicians, Other.</t>
  </si>
  <si>
    <t>Environmental/Environmental Engineering Technology/Technician.</t>
  </si>
  <si>
    <t>Semiconductor Manufacturing Technology/Technician.</t>
  </si>
  <si>
    <t>Composite Materials Technology/Technician.</t>
  </si>
  <si>
    <t>Process Safety Technology/Technician.</t>
  </si>
  <si>
    <t>Mechanical/Mechanical Engineering Technology/Technician.</t>
  </si>
  <si>
    <t>Marine Engineering Technology/Technician.</t>
  </si>
  <si>
    <t>Motorsports Engineering Technology/Technician.</t>
  </si>
  <si>
    <t>Construction Engineering Technology/Technician.</t>
  </si>
  <si>
    <t>Engineering-Related Technologies/Technicians.</t>
  </si>
  <si>
    <t>Engineering-Related Technologies/Technicians, Other.</t>
  </si>
  <si>
    <t>Computer/Computer Systems Technology/Technician.</t>
  </si>
  <si>
    <t>3-D Modeling and Design Technology/Technician.</t>
  </si>
  <si>
    <t>Nuclear Engineering Technology/Technician.</t>
  </si>
  <si>
    <t>Energy Systems Technologies/Technicians.</t>
  </si>
  <si>
    <t>Energy Systems Technology/Technician.</t>
  </si>
  <si>
    <t>Power Plant Technology/Technician.</t>
  </si>
  <si>
    <t>Wind Energy Technology/Technician.</t>
  </si>
  <si>
    <t>Hydroelectric Energy Technology/Technician.</t>
  </si>
  <si>
    <t>Geothermal Energy Technology/Technician.</t>
  </si>
  <si>
    <t>Energy Systems Technologies/Technicians, Other.</t>
  </si>
  <si>
    <t>Engineering/Engineering-Related Technologies/Technicians, Other.</t>
  </si>
  <si>
    <t>Iranian Languages, Literatures, and Linguistics.</t>
  </si>
  <si>
    <t>Hawaiian Language and Literature.</t>
  </si>
  <si>
    <t>English as a Second Language.</t>
  </si>
  <si>
    <t>Armenian Languages, Literatures, and Linguistics.</t>
  </si>
  <si>
    <t>Armenian Language and Literature.</t>
  </si>
  <si>
    <t>Early Childhood and Family Studies.</t>
  </si>
  <si>
    <t>Parent Education Services.</t>
  </si>
  <si>
    <t>RESERVED.</t>
  </si>
  <si>
    <t>Non-Professional Legal Studies.</t>
  </si>
  <si>
    <t>Legal Studies.</t>
  </si>
  <si>
    <t>Non-Professional Legal Studies, Other.</t>
  </si>
  <si>
    <t>Patent Law.</t>
  </si>
  <si>
    <t>Agriculture Law.</t>
  </si>
  <si>
    <t>Arts and Entertainment Law.</t>
  </si>
  <si>
    <t>Compliance Law.</t>
  </si>
  <si>
    <t>Criminal Law and Procedure.</t>
  </si>
  <si>
    <t>Entrepreneurship Law.</t>
  </si>
  <si>
    <t>Family/Child/Elder Law.</t>
  </si>
  <si>
    <t>Human Resources Law.</t>
  </si>
  <si>
    <t>Insurance Law.</t>
  </si>
  <si>
    <t>Real Estate and Land Development Law.</t>
  </si>
  <si>
    <t>Transportation Law.</t>
  </si>
  <si>
    <t>Tribal/Indigenous Law.</t>
  </si>
  <si>
    <t>Court Reporting and Captioning/Court Reporter.</t>
  </si>
  <si>
    <t>Court Interpreter.</t>
  </si>
  <si>
    <t>Scopist.</t>
  </si>
  <si>
    <t>Infectious Disease and Global Health.</t>
  </si>
  <si>
    <t>Exercise Physiology and Kinesiology.</t>
  </si>
  <si>
    <t>Biomechanics.</t>
  </si>
  <si>
    <t>Epidemiology and Biostatistics.</t>
  </si>
  <si>
    <t>Applied Statistics.</t>
  </si>
  <si>
    <t>Applied Statistics, General.</t>
  </si>
  <si>
    <t>Military Technology and Applied Sciences Management.</t>
  </si>
  <si>
    <t>Comprehensive Transition and Postsecondary (CTP) Program.</t>
  </si>
  <si>
    <t>Historic Preservation and Conservation, General.</t>
  </si>
  <si>
    <t>International/Globalization Studies.</t>
  </si>
  <si>
    <t>Classical, Ancient Mediterranean, and Near Eastern Studies and Archaeology.</t>
  </si>
  <si>
    <t>Classical and Ancient Studies, Other.</t>
  </si>
  <si>
    <t>Cognitive Science, General.</t>
  </si>
  <si>
    <t>Contemplative Studies/Inquiry.</t>
  </si>
  <si>
    <t>Cognitive Science, Other.</t>
  </si>
  <si>
    <t>Anthrozoology.</t>
  </si>
  <si>
    <t>Climate Science.</t>
  </si>
  <si>
    <t>Cultural Studies and Comparative Literature.</t>
  </si>
  <si>
    <t>Design for Human Health.</t>
  </si>
  <si>
    <t>Earth Systems Science.</t>
  </si>
  <si>
    <t>Economics and Computer Science.</t>
  </si>
  <si>
    <t>Economics and Foreign Language/Literature.</t>
  </si>
  <si>
    <t>Environmental Geosciences.</t>
  </si>
  <si>
    <t>Geoarcheaology.</t>
  </si>
  <si>
    <t>Geobiology.</t>
  </si>
  <si>
    <t>Geography and Environmental Studies.</t>
  </si>
  <si>
    <t>History and Language/Literature.</t>
  </si>
  <si>
    <t>History and Political Science.</t>
  </si>
  <si>
    <t>Linguistics and Anthropology.</t>
  </si>
  <si>
    <t>Linguistics and Computer Science.</t>
  </si>
  <si>
    <t>Mathematical Economics.</t>
  </si>
  <si>
    <t>Mathematics and Atmospheric/Oceanic Science.</t>
  </si>
  <si>
    <t>Philosophy, Politics, and Economics.</t>
  </si>
  <si>
    <t>Digital Humanities and Textual Studies.</t>
  </si>
  <si>
    <t>Digital Humanities and Textual Studies, General.</t>
  </si>
  <si>
    <t>Digital Humanities.</t>
  </si>
  <si>
    <t>Textual Studies.</t>
  </si>
  <si>
    <t>Digital Humanities and Textual Studies, Other.</t>
  </si>
  <si>
    <t>Thanatology.</t>
  </si>
  <si>
    <t>Data Science.</t>
  </si>
  <si>
    <t>Data Science, General.</t>
  </si>
  <si>
    <t>Data Science, Other.</t>
  </si>
  <si>
    <t>Data Analytics.</t>
  </si>
  <si>
    <t>Data Analytics, General.</t>
  </si>
  <si>
    <t>Business Analytics.</t>
  </si>
  <si>
    <t>Data Visualization.</t>
  </si>
  <si>
    <t>Financial Analytics.</t>
  </si>
  <si>
    <t>Data Analytics, Other.</t>
  </si>
  <si>
    <t>Multi-/Interdisciplinary Studies, Other.</t>
  </si>
  <si>
    <t>PARKS, RECREATION, LEISURE, FITNESS, AND KINESIOLOGY.</t>
  </si>
  <si>
    <t>Parks, Recreation, and Leisure Studies.</t>
  </si>
  <si>
    <t>Parks, Recreation, and Leisure Facilities Management.</t>
  </si>
  <si>
    <t>Parks, Recreation, and Leisure Facilities Management, General.</t>
  </si>
  <si>
    <t>Parks, Recreation, and Leisure Facilities Management, Other.</t>
  </si>
  <si>
    <t>Sports, Kinesiology, and Physical Education/Fitness.</t>
  </si>
  <si>
    <t>Sports, Kinesiology, and Physical Education/Fitness, General.</t>
  </si>
  <si>
    <t>Exercise Science and Kinesiology.</t>
  </si>
  <si>
    <t>Sports, Kinesiology, and Physical Education/Fitness, Other.</t>
  </si>
  <si>
    <t>Parks, Recreation, Leisure, Fitness, and Kinesiology, Other.</t>
  </si>
  <si>
    <t>Accent Reduction/Modification.</t>
  </si>
  <si>
    <t>General Exam Preparation and Test-Taking Skills.</t>
  </si>
  <si>
    <t>Exam Preparation and Test-Taking Skills, General.</t>
  </si>
  <si>
    <t>High School Equivalent Exam Preparation.</t>
  </si>
  <si>
    <t>Undergraduate Entrance/Placement Examination Preparation.</t>
  </si>
  <si>
    <t>Graduate/Professional School Entrance Examination Preparation.</t>
  </si>
  <si>
    <t>Professional Certification/Licensure Examination Preparation.</t>
  </si>
  <si>
    <t>General Exam Preparation and Test-Taking Skills, Other.</t>
  </si>
  <si>
    <t>Personal Emergency Preparedness.</t>
  </si>
  <si>
    <t>Meditation/Mind-Body Wellness.</t>
  </si>
  <si>
    <t>Life Coaching.</t>
  </si>
  <si>
    <t>Beekeeping.</t>
  </si>
  <si>
    <t>Firearms Training/Safety.</t>
  </si>
  <si>
    <t>Floral Design/Arrangement.</t>
  </si>
  <si>
    <t>Master Gardener/Gardening.</t>
  </si>
  <si>
    <t>Noncommercial Vehicle Operation.</t>
  </si>
  <si>
    <t>Automobile Driver Education.</t>
  </si>
  <si>
    <t>Helicopter Pilot (Private).</t>
  </si>
  <si>
    <t>Motorcycle Rider Education.</t>
  </si>
  <si>
    <t>Personal Watercraft/Boating Education.</t>
  </si>
  <si>
    <t>Remote Aircraft Pilot (Personal).</t>
  </si>
  <si>
    <t>Noncommercial Vehicle Operation, Other.</t>
  </si>
  <si>
    <t>Investing/Wealth Management/Retirement Planning.</t>
  </si>
  <si>
    <t>Self-Defense.</t>
  </si>
  <si>
    <t>Catholic Studies.</t>
  </si>
  <si>
    <t>Mormon Studies.</t>
  </si>
  <si>
    <t>Missions/Missionary Studies.</t>
  </si>
  <si>
    <t>Church Planting.</t>
  </si>
  <si>
    <t>Missions/Missionary Studies and Missiology, Other.</t>
  </si>
  <si>
    <t>Religious Music and Worship.</t>
  </si>
  <si>
    <t>Worship Ministry.</t>
  </si>
  <si>
    <t>Religious Music and Worship, Other.</t>
  </si>
  <si>
    <t>Chaplain/Chaplaincy Studies.</t>
  </si>
  <si>
    <t>Religious Institution Administration and Law.</t>
  </si>
  <si>
    <t>Religious Institution Administration and Management.</t>
  </si>
  <si>
    <t>Religious/Canon Law.</t>
  </si>
  <si>
    <t>Religious Institution Administration and Law, Other.</t>
  </si>
  <si>
    <t>Physical Sciences, General.</t>
  </si>
  <si>
    <t>Cheminformatics/Chemistry Informatics.</t>
  </si>
  <si>
    <t>Physics and Astronomy.</t>
  </si>
  <si>
    <t>Biology/Biotechnology Technologies/Technicians.</t>
  </si>
  <si>
    <t>Biology/Biotechnology Technology/Technician.</t>
  </si>
  <si>
    <t>Behavioral Neuroscience.</t>
  </si>
  <si>
    <t>Developmental and Adolescent Psychology.</t>
  </si>
  <si>
    <t>Performance and Sport Psychology.</t>
  </si>
  <si>
    <t>Somatic Psychology.</t>
  </si>
  <si>
    <t>Transpersonal/Spiritual Psychology.</t>
  </si>
  <si>
    <t>Criminal Justice and Corrections, General.</t>
  </si>
  <si>
    <t>Security Science and Technology.</t>
  </si>
  <si>
    <t>Security Science and Technology, General.</t>
  </si>
  <si>
    <t>Cybersecurity Defense Strategy/Policy.</t>
  </si>
  <si>
    <t>Geospatial Intelligence.</t>
  </si>
  <si>
    <t>Security Science and Technology, Other.</t>
  </si>
  <si>
    <t>Public Works Management.</t>
  </si>
  <si>
    <t>Transportation and Infrastructure Planning/Studies.</t>
  </si>
  <si>
    <t>Public Administration, Other.</t>
  </si>
  <si>
    <t>Forensic Social Work.</t>
  </si>
  <si>
    <t>Survey Research/Methodology.</t>
  </si>
  <si>
    <t>Anthropology, General.</t>
  </si>
  <si>
    <t>Forensic Anthropology.</t>
  </si>
  <si>
    <t>Demography.</t>
  </si>
  <si>
    <t>Applied Demography.</t>
  </si>
  <si>
    <t>Demography, Other.</t>
  </si>
  <si>
    <t>Sociology, General.</t>
  </si>
  <si>
    <t>Applied/Public Sociology.</t>
  </si>
  <si>
    <t>Sociology, Other.</t>
  </si>
  <si>
    <t>Geography and Anthropology.</t>
  </si>
  <si>
    <t>Carpentry/Carpenter.</t>
  </si>
  <si>
    <t>Building Construction Technology/Technician.</t>
  </si>
  <si>
    <t>Electrical/Electronics Maintenance and Repair Technologies/Technicians.</t>
  </si>
  <si>
    <t>Electrical/Electronics Equipment Installation and Repair Technology/Technician, General.</t>
  </si>
  <si>
    <t>Communications Systems Installation and Repair Technology/Technician.</t>
  </si>
  <si>
    <t>Electrical/Electronics Maintenance and Repair Technologies/Technicians, Other.</t>
  </si>
  <si>
    <t>Heating, Air Conditioning, Ventilation and Refrigeration Maintenance Technology/Technician.</t>
  </si>
  <si>
    <t>Heavy/Industrial Equipment Maintenance Technologies/Technicians.</t>
  </si>
  <si>
    <t>Industrial Mechanics and Maintenance Technology/Technician.</t>
  </si>
  <si>
    <t>Heavy/Industrial Equipment Maintenance Technologies/Technicians, Other.</t>
  </si>
  <si>
    <t>Precision Systems Maintenance and Repair Technologies/Technicians.</t>
  </si>
  <si>
    <t>Precision Systems Maintenance and Repair Technologies/Technicians, Other.</t>
  </si>
  <si>
    <t>Vehicle Maintenance and Repair Technologies/Technicians.</t>
  </si>
  <si>
    <t>Vehicle Maintenance and Repair Technology/Technician, General.</t>
  </si>
  <si>
    <t>Vehicle Maintenance and Repair Technologies/Technicians, Other.</t>
  </si>
  <si>
    <t>Energy Systems Maintenance and Repair Technologies/Technicians.</t>
  </si>
  <si>
    <t>Energy Systems Installation and Repair Technology/Technician.</t>
  </si>
  <si>
    <t>Solar Energy System Installation and Repair Technology/Technician.</t>
  </si>
  <si>
    <t>Wind Energy System Installation and Repair Technology/Technician.</t>
  </si>
  <si>
    <t>Hydroelectric Energy System Installation and Repair Technology/Technician.</t>
  </si>
  <si>
    <t>Geothermal Energy System Installation and Repair Technology/Technician.</t>
  </si>
  <si>
    <t>Energy Systems Maintenance and Repair Technologies/Technicians, Other.</t>
  </si>
  <si>
    <t>Wooden Boatbuilding Technology/Technician.</t>
  </si>
  <si>
    <t>Remote Aircraft Pilot.</t>
  </si>
  <si>
    <t>Mobil Crane Operator/Operation.</t>
  </si>
  <si>
    <t>Forklift Operation/Operator.</t>
  </si>
  <si>
    <t>Comedy Writing and Performance.</t>
  </si>
  <si>
    <t>Theatre and Dance.</t>
  </si>
  <si>
    <t>Film/Cinema/Media Studies.</t>
  </si>
  <si>
    <t>Jewelry Arts.</t>
  </si>
  <si>
    <t>Metal Arts.</t>
  </si>
  <si>
    <t>Sound Arts.</t>
  </si>
  <si>
    <t>Arts, Entertainment, and Media Management.</t>
  </si>
  <si>
    <t>Arts, Entertainment, and Media Management, General.</t>
  </si>
  <si>
    <t>Community/Environmental/Socially-Engaged Art.</t>
  </si>
  <si>
    <t>Digital Dentistry.</t>
  </si>
  <si>
    <t>Geriatric Dentistry.</t>
  </si>
  <si>
    <t>Implantology/Implant Dentistry.</t>
  </si>
  <si>
    <t>Regulatory Science/Affairs.</t>
  </si>
  <si>
    <t>Disease Registry Data Management.</t>
  </si>
  <si>
    <t>Healthcare Innovation.</t>
  </si>
  <si>
    <t>Healthcare Information Privacy Assurance and Security.</t>
  </si>
  <si>
    <t>Physical Therapy Assistant.</t>
  </si>
  <si>
    <t>Chiropractic Technician/Assistant.</t>
  </si>
  <si>
    <t>Physician Associate/Assistant.</t>
  </si>
  <si>
    <t>Mammography Technology/Technician.</t>
  </si>
  <si>
    <t>Hyperbaric Medicine Technology/Technician.</t>
  </si>
  <si>
    <t>Intraoperative Neuromonitoring Technology/Technician.</t>
  </si>
  <si>
    <t>Orthopedic Technology/Technician.</t>
  </si>
  <si>
    <t>Pre-Art Therapy.</t>
  </si>
  <si>
    <t>Pre-Physician Assistant.</t>
  </si>
  <si>
    <t>Medicine, Other.</t>
  </si>
  <si>
    <t>Medical Science/Scientist.</t>
  </si>
  <si>
    <t>Clinical and Translational Science.</t>
  </si>
  <si>
    <t>Pain Management.</t>
  </si>
  <si>
    <t>Temporomandibular Disorders and Orofacial Pain.</t>
  </si>
  <si>
    <t>Tropical Medicine.</t>
  </si>
  <si>
    <t>Medical Clinical Sciences/Graduate Medical Studies, Other.</t>
  </si>
  <si>
    <t>Infant/Toddler Mental Health Services.</t>
  </si>
  <si>
    <t>Medical Family Therapy/Therapist.</t>
  </si>
  <si>
    <t>Hospice and Palliative Care.</t>
  </si>
  <si>
    <t>Trauma Counseling.</t>
  </si>
  <si>
    <t>Patient Safety and Healthcare Quality.</t>
  </si>
  <si>
    <t>Public Health Genetics.</t>
  </si>
  <si>
    <t>Rehabilitation and Therapeutic Professions, General.</t>
  </si>
  <si>
    <t>Drama Therapy/Therapist.</t>
  </si>
  <si>
    <t>Horticulture Therapy/Therapist.</t>
  </si>
  <si>
    <t>Play Therapy/Therapist.</t>
  </si>
  <si>
    <t>Physical Therapy Technician/Aide.</t>
  </si>
  <si>
    <t>Health Professions Education, Ethics, and Humanities.</t>
  </si>
  <si>
    <t>Health Professions Education.</t>
  </si>
  <si>
    <t>Medical/Health Humanities.</t>
  </si>
  <si>
    <t>History of Medicine.</t>
  </si>
  <si>
    <t>Arts in Medicine/Health.</t>
  </si>
  <si>
    <t>Health Professions Education, Ethics, and Humanities, Other.</t>
  </si>
  <si>
    <t>Holistic/Integrative Health.</t>
  </si>
  <si>
    <t>Forensic Nursing.</t>
  </si>
  <si>
    <t>Research Administration.</t>
  </si>
  <si>
    <t>Risk Management.</t>
  </si>
  <si>
    <t>Science/Technology Management.</t>
  </si>
  <si>
    <t>Business/Corporate Communications, General.</t>
  </si>
  <si>
    <t>Grantsmanship.</t>
  </si>
  <si>
    <t>Business/Corporate Communications, Other.</t>
  </si>
  <si>
    <t>Social Entrepreneurship.</t>
  </si>
  <si>
    <t>Financial Risk Management.</t>
  </si>
  <si>
    <t>Brewery/Brewpub Operations/Management.</t>
  </si>
  <si>
    <t>Executive/Career Coaching.</t>
  </si>
  <si>
    <t>International Business/Trade/Commerce.</t>
  </si>
  <si>
    <t>Digital Marketing.</t>
  </si>
  <si>
    <t>Construction Management, General.</t>
  </si>
  <si>
    <t>Construction Project Management.</t>
  </si>
  <si>
    <t>Construction Management, Other.</t>
  </si>
  <si>
    <t>HIGH SCHOOL/SECONDARY DIPLOMAS AND CERTIFICATES.</t>
  </si>
  <si>
    <t>High School/Secondary Diploma Programs.</t>
  </si>
  <si>
    <t>Regular/General High School/Secondary Diploma Program.</t>
  </si>
  <si>
    <t>College/University Preparatory and Advanced High School/Secondary Diploma Program.</t>
  </si>
  <si>
    <t>Vocational High School and Secondary Business/Vocational-Industrial/Occupational Diploma Program.</t>
  </si>
  <si>
    <t>Honors/Regents High School/Secondary Diploma Program.</t>
  </si>
  <si>
    <t>Adult High School/Secondary Diploma Program.</t>
  </si>
  <si>
    <t>High School/Secondary Diploma Programs, Other.</t>
  </si>
  <si>
    <t>High School/Secondary Certificate Programs.</t>
  </si>
  <si>
    <t>High School Equivalence Certificate Program.</t>
  </si>
  <si>
    <t>High School Certificate of Competence Program.</t>
  </si>
  <si>
    <t>Certificate of IEP Completion Program.</t>
  </si>
  <si>
    <t>High School/Secondary Certificates, Other.</t>
  </si>
  <si>
    <t>HEALTH PROFESSIONS RESIDENCY/FELLOWSHIP PROGRAMS.</t>
  </si>
  <si>
    <t>Dental Residency/Fellowship Programs.</t>
  </si>
  <si>
    <t>Oral and Maxillofacial Surgery Residency Program.</t>
  </si>
  <si>
    <t>Dental Public Health Residency Program.</t>
  </si>
  <si>
    <t>Endodontics Residency Program.</t>
  </si>
  <si>
    <t>Oral and Maxillofacial Pathology Residency Program.</t>
  </si>
  <si>
    <t>Orthodontics Residency Program.</t>
  </si>
  <si>
    <t>Pediatric Dentistry Residency Program.</t>
  </si>
  <si>
    <t>Periodontology Residency Program.</t>
  </si>
  <si>
    <t>Prosthodontics Residency Program.</t>
  </si>
  <si>
    <t>Oral and Maxillofacial Radiology Residency Program.</t>
  </si>
  <si>
    <t>Implantology Fellowship Program.</t>
  </si>
  <si>
    <t>Dental Residency/Fellowship Program, Other.</t>
  </si>
  <si>
    <t>Veterinary Residency/Fellowship Programs.</t>
  </si>
  <si>
    <t>Veterinary Anesthesiology Residency Program.</t>
  </si>
  <si>
    <t>Veterinary Dentistry Residency Program.</t>
  </si>
  <si>
    <t>Veterinary Dermatology Residency Program.</t>
  </si>
  <si>
    <t>Veterinary Emergency and Critical Care Medicine Residency Program.</t>
  </si>
  <si>
    <t>Veterinary Internal Medicine Residency Program.</t>
  </si>
  <si>
    <t>Laboratory Animal Medicine Residency Program.</t>
  </si>
  <si>
    <t>Veterinary Microbiology Residency Program.</t>
  </si>
  <si>
    <t>Veterinary Nutrition Residency Program.</t>
  </si>
  <si>
    <t>Veterinary Ophthalmology Residency Program.</t>
  </si>
  <si>
    <t>Veterinary Pathology Residency Program.</t>
  </si>
  <si>
    <t>Veterinary Practice Residency Program.</t>
  </si>
  <si>
    <t>Veterinary Preventive Medicine Residency Program.</t>
  </si>
  <si>
    <t>Veterinary Radiology Residency Program.</t>
  </si>
  <si>
    <t>Veterinary Surgery Residency Program.</t>
  </si>
  <si>
    <t>Theriogenology Residency Program.</t>
  </si>
  <si>
    <t>Veterinary Toxicology Residency Program.</t>
  </si>
  <si>
    <t>Zoological Medicine Residency Program.</t>
  </si>
  <si>
    <t>Poultry Veterinarian Residency Program.</t>
  </si>
  <si>
    <t>Veterinary Behaviorist Residency Program.</t>
  </si>
  <si>
    <t>Veterinary Clinical Pharmacology Residency Program.</t>
  </si>
  <si>
    <t>Veterinary Residency/Fellowship Program, Other.</t>
  </si>
  <si>
    <t>Medical Residency Programs - General Certificates.</t>
  </si>
  <si>
    <t>Aerospace Medicine Residency Program.</t>
  </si>
  <si>
    <t>Allergy and Immunology Residency Program.</t>
  </si>
  <si>
    <t>Anesthesiology Residency Program.</t>
  </si>
  <si>
    <t>Child Neurology Residency Program.</t>
  </si>
  <si>
    <t>Clinical Biochemical Genetics Residency Program.</t>
  </si>
  <si>
    <t>Clinical Cytogenetics Residency Program.</t>
  </si>
  <si>
    <t>Clinical Genetics Residency Program.</t>
  </si>
  <si>
    <t>Clinical Molecular Genetics Residency Program.</t>
  </si>
  <si>
    <t>Colon and Rectal Surgery Residency Program.</t>
  </si>
  <si>
    <t>Dermatology Residency Program.</t>
  </si>
  <si>
    <t>Diagnostic Radiology Residency Program.</t>
  </si>
  <si>
    <t>Emergency Medicine Residency Program.</t>
  </si>
  <si>
    <t>Family Medicine Residency Program.</t>
  </si>
  <si>
    <t>General Surgery Residency Program.</t>
  </si>
  <si>
    <t>Internal Medicine Residency Program.</t>
  </si>
  <si>
    <t>Neurological Surgery Residency Program.</t>
  </si>
  <si>
    <t>Neurology Residency Program.</t>
  </si>
  <si>
    <t>Nuclear Medicine Residency Program.</t>
  </si>
  <si>
    <t>Obstetrics and Gynecology Residency Program.</t>
  </si>
  <si>
    <t>Occupational Medicine Residency Program.</t>
  </si>
  <si>
    <t>Ophthalmology Residency Program.</t>
  </si>
  <si>
    <t>Orthopedic Surgery Residency Program.</t>
  </si>
  <si>
    <t>Otolaryngology Residency Program.</t>
  </si>
  <si>
    <t>Pathology Residency Program.</t>
  </si>
  <si>
    <t>Pediatrics Residency Program.</t>
  </si>
  <si>
    <t>Physical Medicine and Rehabilitation Residency Program.</t>
  </si>
  <si>
    <t>Plastic Surgery Residency Program.</t>
  </si>
  <si>
    <t>Psychiatry Residency Program.</t>
  </si>
  <si>
    <t>Public Health and General Preventive Medicine Residency Program.</t>
  </si>
  <si>
    <t>Radiation Oncology Residency Program.</t>
  </si>
  <si>
    <t>Radiologic Physics Residency Program.</t>
  </si>
  <si>
    <t>Thoracic Surgery Residency Program.</t>
  </si>
  <si>
    <t>Urology Residency Program.</t>
  </si>
  <si>
    <t>Vascular Surgery Residency Program.</t>
  </si>
  <si>
    <t>Medical Residency Programs - General Certificates, Other.</t>
  </si>
  <si>
    <t>Medical Residency Programs - Subspecialty Certificates.</t>
  </si>
  <si>
    <t>Addiction Psychiatry Residency Program.</t>
  </si>
  <si>
    <t>Adolescent Medicine Residency Program.</t>
  </si>
  <si>
    <t>Blood Banking/Transfusion Medicine Residency Program.</t>
  </si>
  <si>
    <t>Cardiovascular Disease Residency Program.</t>
  </si>
  <si>
    <t>Chemical Pathology Residency Program.</t>
  </si>
  <si>
    <t>Child Abuse Pediatrics Residency Program.</t>
  </si>
  <si>
    <t>Child and Adolescent Psychiatry Residency Program.</t>
  </si>
  <si>
    <t>Clinical Cardiac Electrophysiology Residency Program.</t>
  </si>
  <si>
    <t>Clinical Neurophysiology Residency Program.</t>
  </si>
  <si>
    <t>Congenital Cardiac Surgery Residency Program.</t>
  </si>
  <si>
    <t>Critical Care Medicine Residency Program.</t>
  </si>
  <si>
    <t>Cytopathology Residency Program.</t>
  </si>
  <si>
    <t>Dermatopathology Residency Program.</t>
  </si>
  <si>
    <t>Developmental-Behavioral Pediatrics Residency Program.</t>
  </si>
  <si>
    <t>Diagnostic Radiologic Physics Residency Program.</t>
  </si>
  <si>
    <t>Endocrinology, Diabetes and Metabolism Residency Program.</t>
  </si>
  <si>
    <t>Forensic Pathology Residency Program.</t>
  </si>
  <si>
    <t>Forensic Psychiatry Residency Program.</t>
  </si>
  <si>
    <t>Gastroenterology Residency Program.</t>
  </si>
  <si>
    <t>Geriatric Medicine Residency Program.</t>
  </si>
  <si>
    <t>Geriatric Psychiatry Residency Program.</t>
  </si>
  <si>
    <t>Gynecologic Oncology Residency Program.</t>
  </si>
  <si>
    <t>Hematological Pathology Residency Program.</t>
  </si>
  <si>
    <t>Hematology Residency Program.</t>
  </si>
  <si>
    <t>Hospice and Palliative Medicine Residency Program.</t>
  </si>
  <si>
    <t>Immunopathology Residency Program.</t>
  </si>
  <si>
    <t>Infectious Disease Residency Program.</t>
  </si>
  <si>
    <t>Interventional Cardiology Residency Program.</t>
  </si>
  <si>
    <t>Laboratory Medicine Residency Program.</t>
  </si>
  <si>
    <t>Maternal and Fetal Medicine Residency Program.</t>
  </si>
  <si>
    <t>Medical Biochemical Genetics Residency Program.</t>
  </si>
  <si>
    <t>Medical Microbiology Residency Program.</t>
  </si>
  <si>
    <t>Medical Nuclear Physics Residency Program.</t>
  </si>
  <si>
    <t>Medical Oncology Residency Program.</t>
  </si>
  <si>
    <t>Medical Toxicology Residency Program.</t>
  </si>
  <si>
    <t>Molecular Genetic Pathology Residency Program.</t>
  </si>
  <si>
    <t>Musculoskeletal Oncology Residency Program.</t>
  </si>
  <si>
    <t>Neonatal-Perinatal Medicine Residency Program.</t>
  </si>
  <si>
    <t>Nephrology Residency Program.</t>
  </si>
  <si>
    <t>Neurodevelopmental Disabilities Residency Program.</t>
  </si>
  <si>
    <t>Neuromuscular Medicine Residency Program.</t>
  </si>
  <si>
    <t>Neuropathology Residency Program.</t>
  </si>
  <si>
    <t>Neuroradiology Residency Program.</t>
  </si>
  <si>
    <t>Neurotology Residency Program.</t>
  </si>
  <si>
    <t>Nuclear Radiology Residency Program.</t>
  </si>
  <si>
    <t>Orthopedic Sports Medicine Residency Program.</t>
  </si>
  <si>
    <t>Orthopedic Surgery of the Spine Residency Program.</t>
  </si>
  <si>
    <t>Pain Medicine Residency Program.</t>
  </si>
  <si>
    <t>Pediatric Cardiology Residency Program.</t>
  </si>
  <si>
    <t>Pediatric Critical Care Medicine Residency Program.</t>
  </si>
  <si>
    <t>Pediatric Dermatology Residency Program.</t>
  </si>
  <si>
    <t>Pediatric Emergency Medicine Residency Program.</t>
  </si>
  <si>
    <t>Pediatric Endocrinology Residency Program.</t>
  </si>
  <si>
    <t>Pediatric Gastroenterology Residency Program.</t>
  </si>
  <si>
    <t>Pediatric Hematology-Oncology Residency Program.</t>
  </si>
  <si>
    <t>Pediatric Infectious Diseases Residency Program.</t>
  </si>
  <si>
    <t>Pediatric Nephrology Residency Program.</t>
  </si>
  <si>
    <t>Pediatric Orthopedics Residency Program.</t>
  </si>
  <si>
    <t>Pediatric Otolaryngology Residency Program.</t>
  </si>
  <si>
    <t>Pediatric Pathology Residency Program.</t>
  </si>
  <si>
    <t>Pediatric Pulmonology Residency Program.</t>
  </si>
  <si>
    <t>Pediatric Radiology Residency Program.</t>
  </si>
  <si>
    <t>Pediatric Rehabilitation Medicine Residency Program.</t>
  </si>
  <si>
    <t>Pediatric Rheumatology Residency Program.</t>
  </si>
  <si>
    <t>Pediatric Surgery Residency Program.</t>
  </si>
  <si>
    <t>Pediatric Transplant Hepatology Residency Program.</t>
  </si>
  <si>
    <t>Pediatric Urology Residency Program.</t>
  </si>
  <si>
    <t>Physical Medicine and Rehabilitation/Psychiatry Residency Program.</t>
  </si>
  <si>
    <t>Plastic Surgery Within the Head and Neck Residency Program.</t>
  </si>
  <si>
    <t>Psychosomatic Medicine Residency Program.</t>
  </si>
  <si>
    <t>Pulmonary Disease Residency Program.</t>
  </si>
  <si>
    <t>Radioisotopic Pathology Residency Program.</t>
  </si>
  <si>
    <t>Reproductive Endocrinology/Infertility Residency Program.</t>
  </si>
  <si>
    <t>Rheumatology Residency Program.</t>
  </si>
  <si>
    <t>Sleep Medicine Residency Program.</t>
  </si>
  <si>
    <t>Spinal Cord Injury Medicine Residency Program.</t>
  </si>
  <si>
    <t>Sports Medicine Residency Program.</t>
  </si>
  <si>
    <t>Surgery of the Hand Residency Program.</t>
  </si>
  <si>
    <t>Surgical Critical Care Residency Program.</t>
  </si>
  <si>
    <t>Therapeutic Radiologic Physics Residency Program.</t>
  </si>
  <si>
    <t>Transplant Hepatology Residency Program.</t>
  </si>
  <si>
    <t>Undersea and Hyperbaric Medicine Residency Program.</t>
  </si>
  <si>
    <t>Vascular and Interventional Radiology Residency Program.</t>
  </si>
  <si>
    <t>Vascular Neurology Residency Program.</t>
  </si>
  <si>
    <t>Medical Residency Programs - Subspecialty Certificates, Other.</t>
  </si>
  <si>
    <t>Podiatric Medicine Residency Programs.</t>
  </si>
  <si>
    <t>Podiatric Medicine and Surgery - 24 Residency Program.</t>
  </si>
  <si>
    <t>Podiatric Medicine and Surgery - 36 Residency Program.</t>
  </si>
  <si>
    <t>Nurse Practitioner Residency/Fellowship Programs.</t>
  </si>
  <si>
    <t>Nurse Practitioner Residency/Fellowship Program, General.</t>
  </si>
  <si>
    <t>Combined Nurse Practitioner Residency/Fellowship Program.</t>
  </si>
  <si>
    <t>Acute Care Nurse Practitioner Residency/Fellowship Program.</t>
  </si>
  <si>
    <t>Adult/Gerontology Acute Care Nurse Practitioner Residency/Fellowship Program.</t>
  </si>
  <si>
    <t>Adult/Gerontology Critical Care Nurse Practitioner Residency/Fellowship Program.</t>
  </si>
  <si>
    <t>Cardiology/Cardiovascular Nurse Practitioner Residency/Fellowship Program.</t>
  </si>
  <si>
    <t>Clinical Informatics Nurse Practitioner Residency/Fellowship Program.</t>
  </si>
  <si>
    <t>Dermatology Nurse Practitioner Residency/Fellowship Program.</t>
  </si>
  <si>
    <t>Developmental and Behavioral Pediatrics Nurse Practitioner Residency/Fellowship Program.</t>
  </si>
  <si>
    <t>Diabetes Nurse Practitioner Residency/Fellowship Program.</t>
  </si>
  <si>
    <t>Emergency Medicine Nurse Practitioner Residency/Fellowship Program.</t>
  </si>
  <si>
    <t>Endocrinology Nurse Practitioner Residency/Fellowship Program.</t>
  </si>
  <si>
    <t>Family Medicine Nurse Practitioner Residency/Fellowship Program.</t>
  </si>
  <si>
    <t>Gastroenterology and Hepatology Nurse Practitioner Residency/Fellowship Program.</t>
  </si>
  <si>
    <t>Gastroenterology Nurse Practitioner Residency/Fellowship Program.</t>
  </si>
  <si>
    <t>Genetics Nurse Practitioner Residency/Fellowship Program.</t>
  </si>
  <si>
    <t>Gerontology Nurse Practitioner Residency/Fellowship Program.</t>
  </si>
  <si>
    <t>Global Health Nurse Practitioner Residency/Fellowship Program.</t>
  </si>
  <si>
    <t>Hematology-Oncology Nurse Practitioner Residency/Fellowship Program.</t>
  </si>
  <si>
    <t>Hepatology Nurse Practitioner Residency/Fellowship Program.</t>
  </si>
  <si>
    <t>Home-Based Primary Care Nurse Practitioner Residency/Fellowship Program.</t>
  </si>
  <si>
    <t>Hospice and Palliative Medicine Nurse Practitioner Residency/Fellowship Program.</t>
  </si>
  <si>
    <t>Hospital Medicine Nurse Practitioner Residency/Fellowship Program.</t>
  </si>
  <si>
    <t>Infectious Diseases Nurse Practitioner Residency/Fellowship Program.</t>
  </si>
  <si>
    <t>Neonatal Nurse Practitioner Residency/Fellowship Program.</t>
  </si>
  <si>
    <t>Nephrology Nurse Practitioner Residency/Fellowship Program.</t>
  </si>
  <si>
    <t>Neurology Nurse Practitioner Residency/Fellowship Program.</t>
  </si>
  <si>
    <t>Neuroscience Nurse Practitioner Residency/Fellowship Program.</t>
  </si>
  <si>
    <t>Obstetrics and Gynecology Nurse Practitioner Residency/Fellowship Program.</t>
  </si>
  <si>
    <t>Occupational Health Nurse Practitioner Residency/Fellowship Program.</t>
  </si>
  <si>
    <t>Orthopedic Nurse Practitioner Residency/Fellowship Program.</t>
  </si>
  <si>
    <t>Orthopedic Surgery Nurse Practitioner Residency/Fellowship Program.</t>
  </si>
  <si>
    <t>Pain Management Nurse Practitioner Residency/Fellowship Program.</t>
  </si>
  <si>
    <t>Palliative Care Nurse Practitioner Residency/Fellowship Program.</t>
  </si>
  <si>
    <t>Pediatric Hematology-Oncology Nurse Practitioner Residency/Fellowship Program.</t>
  </si>
  <si>
    <t>Pediatric Nurse Practitioner Residency/Fellowship Program.</t>
  </si>
  <si>
    <t>Pediatric Rehabilitation Nurse Practitioner Residency/Fellowship Program.</t>
  </si>
  <si>
    <t>Psychiatric/Mental Health Nurse Practitioner Residency/Fellowship Program.</t>
  </si>
  <si>
    <t>Public/Community Health Nurse Practitioner Residency/Fellowship Program.</t>
  </si>
  <si>
    <t>Pulmonary Nurse Practitioner Residency/Fellowship Program.</t>
  </si>
  <si>
    <t>Rheumatology Nurse Practitioner Residency/Fellowship Program.</t>
  </si>
  <si>
    <t>Rural Health Nurse Practitioner Residency/Fellowship Program.</t>
  </si>
  <si>
    <t>Sleep Medicine Nurse Practitioner Residency/Fellowship Program.</t>
  </si>
  <si>
    <t>Surgical and Critical Care Nurse Practitioner Residency/Fellowship Program.</t>
  </si>
  <si>
    <t>Surgical Wound and Reconstruction Nurse Practitioner Residency/Fellowship Program.</t>
  </si>
  <si>
    <t>Transplantation Nurse Practitioner Residency/Fellowship Program.</t>
  </si>
  <si>
    <t>Trauma and Critical Care Nurse Practitioner Residency/Fellowship Program.</t>
  </si>
  <si>
    <t>Urgent Care Nurse Practitioner Residency/Fellowship Program.</t>
  </si>
  <si>
    <t>Urology Nurse Practitioner Residency/Fellowship Program.</t>
  </si>
  <si>
    <t>Women's Health Nurse Practitioner Residency/Fellowship Program.</t>
  </si>
  <si>
    <t>Wound Care Nurse Practitioner Residency/Fellowship Program.</t>
  </si>
  <si>
    <t>Nurse Practitioner Residency/Fellowship Program, Other.</t>
  </si>
  <si>
    <t>Pharmacy Residency/Fellowship Programs.</t>
  </si>
  <si>
    <t>Pharmacy Residency/Fellowship Program, General.</t>
  </si>
  <si>
    <t>Combined Pharmacy Residency/Fellowship Program.</t>
  </si>
  <si>
    <t>Ambulatory Care Pharmacy Residency/Fellowship Program.</t>
  </si>
  <si>
    <t>Cardiology Pharmacy Residency/Fellowship Program.</t>
  </si>
  <si>
    <t>Clinical Pharmacogenomics Pharmacy Residency/Fellowship Program.</t>
  </si>
  <si>
    <t>Community/Community-Based Pharmacy Residency/Fellowship Program.</t>
  </si>
  <si>
    <t>Corporate Pharmacy Leadership Residency/Fellowship Program.</t>
  </si>
  <si>
    <t>Critical Care Pharmacy Residency/Fellowship Program.</t>
  </si>
  <si>
    <t>Drug Information Pharmacy Residency/Fellowship Program</t>
  </si>
  <si>
    <t>Emergency Medicine Pharmacy Residency/Fellowship Program.</t>
  </si>
  <si>
    <t>Family Medicine Pharmacy Residency/Fellowship Program.</t>
  </si>
  <si>
    <t>Geriatric Pharmacy Residency/Fellowship Program.</t>
  </si>
  <si>
    <t>Health System Medication Management Pharmacy Residency/Fellowship Program.</t>
  </si>
  <si>
    <t>Health System Pharmacy Administration and Leadership Residency/Fellowship Program.</t>
  </si>
  <si>
    <t>Infectious Diseases Pharmacy Residency/Fellowship Program.</t>
  </si>
  <si>
    <t>Internal Medicine Pharmacy Residency/Fellowship Program.</t>
  </si>
  <si>
    <t>Investigational Drugs and Research Pharmacy Residency/Fellowship Program.</t>
  </si>
  <si>
    <t>Managed Care Pharmacy Residency/Fellowship Program.</t>
  </si>
  <si>
    <t>Medication Systems and Operations Pharmacy Residency/Fellowship Program.</t>
  </si>
  <si>
    <t>Medication-Use Safety Pharmacy Residency/Fellowship Program.</t>
  </si>
  <si>
    <t>Neonatal Pharmacy Residency/Fellowship Program.</t>
  </si>
  <si>
    <t>Nephrology Pharmacy Residency/Fellowship Program.</t>
  </si>
  <si>
    <t>Neurology Pharmacy Residency/Fellowship Program.</t>
  </si>
  <si>
    <t>Nuclear Pharmacy Residency/Fellowship Program.</t>
  </si>
  <si>
    <t>Nutrition Support Pharmacy Residency/Fellowship Program.</t>
  </si>
  <si>
    <t>Oncology Pharmacy Residency/Fellowship Program.</t>
  </si>
  <si>
    <t>Palliative Care/Pain Management Pharmacy Residency/Fellowship Program.</t>
  </si>
  <si>
    <t>Pediatric Pharmacy Residency/Fellowship Program.</t>
  </si>
  <si>
    <t>Pharmacotherapy Pharmacy Residency/Fellowship Program.</t>
  </si>
  <si>
    <t>Pharmacy Informatics Pharmacy Residency/Fellowship Program.</t>
  </si>
  <si>
    <t>Psychiatric Pharmacy Residency/Fellowship Program.</t>
  </si>
  <si>
    <t>Transplantation Pharmacy Residency/Fellowship Program.</t>
  </si>
  <si>
    <t>Pharmacy Residency Programs, Other.</t>
  </si>
  <si>
    <t>Physician Assistant Residency/Fellowship Programs.</t>
  </si>
  <si>
    <t>Physician Assistant Residency/Fellowship Program, General.</t>
  </si>
  <si>
    <t>Combined Physician Assistant Residency/Fellowship Program.</t>
  </si>
  <si>
    <t>Acute Care Medicine Physician Assistant Residency/Fellowship Program.</t>
  </si>
  <si>
    <t>Acute Care Surgery Physician Assistant Residency/Fellowship Program.</t>
  </si>
  <si>
    <t>Cardiology Physician Assistant Residency/Fellowship Program.</t>
  </si>
  <si>
    <t>Cardiothoracic Surgery Physician Assistant Residency/Fellowship Program.</t>
  </si>
  <si>
    <t>Critical Care Physician Assistant Residency/Fellowship Program.</t>
  </si>
  <si>
    <t>Critical Care and Trauma Surgery Physician Assistant Residency/Fellowship Program.</t>
  </si>
  <si>
    <t>Emergency Medicine Physician Assistant Residency/Fellowship Program.</t>
  </si>
  <si>
    <t>ENT Surgery Physician Assistant Residency/Fellowship Program.</t>
  </si>
  <si>
    <t>Family Medicine Physician Assistant Residency/Fellowship Program.</t>
  </si>
  <si>
    <t>Geriatrics Physician Assistant Residency/Fellowship Program.</t>
  </si>
  <si>
    <t>Hematology-Oncology Physician Assistant Residency/Fellowship Program.</t>
  </si>
  <si>
    <t>Hepatobiliary Surgery Physician Assistant Residency/Fellowship Program.</t>
  </si>
  <si>
    <t>Hospitalist Physician Assistant Residency/Fellowship Program.</t>
  </si>
  <si>
    <t>Neurosurgery Physician Assistant Residency/Fellowship Program.</t>
  </si>
  <si>
    <t>Orthopedic Surgery Physician Assistant Residency/Fellowship Program.</t>
  </si>
  <si>
    <t>Pediatric Surgery Physician Assistant Residency/Fellowship Program.</t>
  </si>
  <si>
    <t>Transplant Surgery Physician Assistant Residency/Fellowship Program.</t>
  </si>
  <si>
    <t>Urology Physician Assistant Residency/Fellowship Program.</t>
  </si>
  <si>
    <t>Physician Assistant Residency/Fellowship Program, Other.</t>
  </si>
  <si>
    <t>Health Professions Residency/Fellowship Programs, Other.</t>
  </si>
  <si>
    <t>MEDICAL RESIDENCY/FELLOWSHIP PROGRAMS.</t>
  </si>
  <si>
    <t>Combined Medical Residency/Fellowship Programs.</t>
  </si>
  <si>
    <t>Combined Medical Residency/Fellowship Program, General.</t>
  </si>
  <si>
    <t>Diagnostic Radiology/Nuclear Medicine Combined Specialty Program.</t>
  </si>
  <si>
    <t>Emergency Medicine/Anesthesiology Combined Specialty Program.</t>
  </si>
  <si>
    <t>Family Medicine/Emergency Medicine Combined Specialty Program.</t>
  </si>
  <si>
    <t>Family Medicine/Osteopathic Neuromusculoskeletal Medicine Combined Specialty Program.</t>
  </si>
  <si>
    <t>Family Medicine/Preventive Medicine Combined Specialty Program.</t>
  </si>
  <si>
    <t>Family Medicine/Psychiatry Combined Specialty Program.</t>
  </si>
  <si>
    <t>Internal Medicine/Anesthesiology Combined Specialty Program.</t>
  </si>
  <si>
    <t>Internal Medicine/Dermatology Combined Specialty Program.</t>
  </si>
  <si>
    <t>Internal Medicine/Emergency Medicine Combined Specialty Program.</t>
  </si>
  <si>
    <t>Internal Medicine/Emergency Medicine/Critical Care Medicine Combined Specialty Program.</t>
  </si>
  <si>
    <t>Internal Medicine/Family Medicine Combined Specialty Program.</t>
  </si>
  <si>
    <t>Internal Medicine/Medical Genetics and Genomics Combined Specialty Program.</t>
  </si>
  <si>
    <t>Internal Medicine/Neurology Combined Specialty Program.</t>
  </si>
  <si>
    <t>Internal Medicine/Pediatrics Combined Specialty Program.</t>
  </si>
  <si>
    <t>Internal Medicine/Preventive Medicine Combined Specialty Program.</t>
  </si>
  <si>
    <t>Internal Medicine/Psychiatry Combined Specialty Program.</t>
  </si>
  <si>
    <t>Medical Genetics and Genomics/Maternal-Fetal Medicine Combined Specialty Program.</t>
  </si>
  <si>
    <t>Pediatrics/Anesthesiology Combined Specialty Program.</t>
  </si>
  <si>
    <t>Pediatrics/Emergency Medicine Combined Specialty Program.</t>
  </si>
  <si>
    <t>Pediatrics/Medical Genetics and Genomics Combined Specialty Program.</t>
  </si>
  <si>
    <t>Pediatrics/Physical Medicine &amp; Rehabilitation Combined Specialty Program.</t>
  </si>
  <si>
    <t>Pediatrics/Psychology/Child-Adolescent Psychology Combined Specialty Program.</t>
  </si>
  <si>
    <t>Psychiatry/Neurology Combined Specialty Program.</t>
  </si>
  <si>
    <t>Reproductive Endocrinology and Infertility/Medical Genetics and Genomics Combined Specialty Program.</t>
  </si>
  <si>
    <t>Combined Medical Residency/Fellowship Programs, Other.</t>
  </si>
  <si>
    <t>Multiple-Pathway Medical Fellowship Programs.</t>
  </si>
  <si>
    <t>Critical Care Medicine Fellowship Program.</t>
  </si>
  <si>
    <t>Geriatric Medicine Fellowship Program.</t>
  </si>
  <si>
    <t>Health Policy Fellowship Program.</t>
  </si>
  <si>
    <t>Hospice and Palliative Medicine Fellowship Program.</t>
  </si>
  <si>
    <t>Integrative Medicine Fellowship Program.</t>
  </si>
  <si>
    <t>Medical Education Fellowship Program.</t>
  </si>
  <si>
    <t>Medical Toxicology Fellowship Program.</t>
  </si>
  <si>
    <t>Neuromuscular Medicine Fellowship Program.</t>
  </si>
  <si>
    <t>Pain Medicine Fellowship Program.</t>
  </si>
  <si>
    <t>Simulation Fellowship Program.</t>
  </si>
  <si>
    <t>Sleep Medicine Fellowship Program.</t>
  </si>
  <si>
    <t>Sports Medicine Fellowship Program.</t>
  </si>
  <si>
    <t>Surgery of the Hand Fellowship Program.</t>
  </si>
  <si>
    <t>Telemedicine Fellowship Program.</t>
  </si>
  <si>
    <t>Undersea and Hyperbaric Medicine Fellowship Program.</t>
  </si>
  <si>
    <t>Wilderness Medicine Fellowship Program.</t>
  </si>
  <si>
    <t>Women's Health Fellowship Program.</t>
  </si>
  <si>
    <t>Multiple-Pathway Medical Fellowship Programs, Other.</t>
  </si>
  <si>
    <t>Allergy and Immunology Residency/Fellowship Programs.</t>
  </si>
  <si>
    <t>Allergy and Immunology Fellowship Program.</t>
  </si>
  <si>
    <t>Allergy and Immunology Residency/Fellowship Programs, Other.</t>
  </si>
  <si>
    <t>Anesthesiology Residency/Fellowship Programs.</t>
  </si>
  <si>
    <t>Anesthesiology Residency/Fellowship Programs, Other.</t>
  </si>
  <si>
    <t>Dermatology Residency/Fellowship Programs.</t>
  </si>
  <si>
    <t>Dermatopathology Fellowship Program.</t>
  </si>
  <si>
    <t>Pediatric Dermatology Fellowship Program.</t>
  </si>
  <si>
    <t>Dermatology Residency/Fellowship Programs, Other.</t>
  </si>
  <si>
    <t>Emergency Medicine Residency/Fellowship Programs.</t>
  </si>
  <si>
    <t>Disaster Medicine Fellowship Program.</t>
  </si>
  <si>
    <t>Emergency Medical Services Fellowship Program.</t>
  </si>
  <si>
    <t>Emergency Medicine Residency/Fellowship Programs, Other.</t>
  </si>
  <si>
    <t>Family Medicine Residency/Fellowship Programs.</t>
  </si>
  <si>
    <t>Family Medicine Residency/Fellowship Programs, Other.</t>
  </si>
  <si>
    <t>Internal Medicine Residency/Fellowship Programs.</t>
  </si>
  <si>
    <t>Cardiovascular Disease Fellowship Program.</t>
  </si>
  <si>
    <t>Clinical Cardiac Electrophysiology Fellowship Program.</t>
  </si>
  <si>
    <t>Endocrinology, Diabetes, and Metabolism Fellowship Program.</t>
  </si>
  <si>
    <t>Gastroenterology Fellowship Program.</t>
  </si>
  <si>
    <t>Hematology Fellowship Program.</t>
  </si>
  <si>
    <t>Hematology-Oncology Fellowship Program.</t>
  </si>
  <si>
    <t>Infectious Disease Fellowship Program.</t>
  </si>
  <si>
    <t>Interventional Cardiology Fellowship Program.</t>
  </si>
  <si>
    <t>Nephrology Fellowship Program.</t>
  </si>
  <si>
    <t>Medical Oncology Fellowship Program.</t>
  </si>
  <si>
    <t>Pulmonary Disease Fellowship Program.</t>
  </si>
  <si>
    <t>Rheumatology Fellowship Program.</t>
  </si>
  <si>
    <t>Transplant Hepatology Fellowship Program.</t>
  </si>
  <si>
    <t>Internal Medicine Residency/Fellowship Programs, Other.</t>
  </si>
  <si>
    <t>Medical Genetics and Genomics Residency/Fellowship Programs.</t>
  </si>
  <si>
    <t>Clinical Genetics and Genomics Residency Program.</t>
  </si>
  <si>
    <t>Laboratory Genetics and Genomics Residency Program.</t>
  </si>
  <si>
    <t>Medical Genetics and Genomics Residency/Fellowship Programs, Other.</t>
  </si>
  <si>
    <t>Neurological Surgery Residency/Fellowship Programs.</t>
  </si>
  <si>
    <t>Neurological Surgery Residency/Fellowship Programs, Other.</t>
  </si>
  <si>
    <t>Neurology Residency/Fellowship Programs.</t>
  </si>
  <si>
    <t>Clinical Neurophysiology Fellowship Program.</t>
  </si>
  <si>
    <t>Epilepsy Fellowship Program.</t>
  </si>
  <si>
    <t>Headache Medicine Fellowship Program.</t>
  </si>
  <si>
    <t>Neurodevelopmental Disabilities Fellowship Program.</t>
  </si>
  <si>
    <t>Vascular Neurology Fellowship Program.</t>
  </si>
  <si>
    <t>Neurology Residency/Fellowship Programs, Other.</t>
  </si>
  <si>
    <t>Nuclear Medicine Residency/Fellowship Programs.</t>
  </si>
  <si>
    <t>Nuclear Medicine Residency/Fellowship Programs, Other.</t>
  </si>
  <si>
    <t>Obstetrics and Gynecology Residency/Fellowship Programs.</t>
  </si>
  <si>
    <t>Gynecologic Oncology Fellowship Program.</t>
  </si>
  <si>
    <t>Maternal and Fetal Medicine Fellowship Program.</t>
  </si>
  <si>
    <t>Reproductive Endocrinology/Infertility Fellowship Program.</t>
  </si>
  <si>
    <t>Obstetrics and Gynecology Residency/Fellowship Programs, Other.</t>
  </si>
  <si>
    <t>Ophthalmology Residency/Fellowship Programs.</t>
  </si>
  <si>
    <t>Ophthalmology Residency/Fellowship Programs, Other.</t>
  </si>
  <si>
    <t>Orthopedic Surgery Residency/Fellowship Programs.</t>
  </si>
  <si>
    <t>Musculoskeletal Oncology Fellowship Program.</t>
  </si>
  <si>
    <t>Orthopedic Sports Medicine Fellowship Program.</t>
  </si>
  <si>
    <t>Orthopedic Surgery of the Spine Fellowship Program.</t>
  </si>
  <si>
    <t>Pediatric Orthopedics Fellowship Program.</t>
  </si>
  <si>
    <t>Orthopedic Surgery Residency/Fellowship Programs, Other.</t>
  </si>
  <si>
    <t>Osteopathic Medicine Residency/Fellowship Programs.</t>
  </si>
  <si>
    <t>Osteopathic Neuromusculoskeletal Medicine Residency Program.</t>
  </si>
  <si>
    <t>Osteopathic Medicine Residency/Fellowship Programs, Other.</t>
  </si>
  <si>
    <t>Otolaryngology Residency/Fellowship Programs.</t>
  </si>
  <si>
    <t>Neurotology Fellowship Program.</t>
  </si>
  <si>
    <t>Pediatric Otolaryngology Fellowship Program.</t>
  </si>
  <si>
    <t>Otolaryngology Residency/Fellowship Programs, Other.</t>
  </si>
  <si>
    <t>Pathology Residency/Fellowship Programs.</t>
  </si>
  <si>
    <t>Combined Anatomic and Clinical Pathology Residency Program.</t>
  </si>
  <si>
    <t>Anatomic Pathology Residency Program.</t>
  </si>
  <si>
    <t>Clinical Pathology Residency Program.</t>
  </si>
  <si>
    <t>Blood Banking/Transfusion Medicine Fellowship Program.</t>
  </si>
  <si>
    <t>Chemical Pathology Fellowship Program.</t>
  </si>
  <si>
    <t>Cytopathology Fellowship Program.</t>
  </si>
  <si>
    <t>Forensic Pathology Fellowship Program.</t>
  </si>
  <si>
    <t>Hematological Pathology Fellowship Program.</t>
  </si>
  <si>
    <t>Immunopathology Fellowship Program.</t>
  </si>
  <si>
    <t>Laboratory Medicine Fellowship Program.</t>
  </si>
  <si>
    <t>Medical Microbiology Fellowship Program.</t>
  </si>
  <si>
    <t>Molecular Genetic Pathology Fellowship Program.</t>
  </si>
  <si>
    <t>Neuropathology Fellowship Program.</t>
  </si>
  <si>
    <t>Pediatric Pathology Fellowship Program.</t>
  </si>
  <si>
    <t>Radioisotopic Pathology Fellowship Program.</t>
  </si>
  <si>
    <t>Pathology Residency/Fellowship Programs, Other.</t>
  </si>
  <si>
    <t>Pediatrics Residency/Fellowship Programs.</t>
  </si>
  <si>
    <t>Adolescent Medicine Fellowship Program.</t>
  </si>
  <si>
    <t>Child Abuse Pediatrics Fellowship Program.</t>
  </si>
  <si>
    <t>Developmental-Behavioral Pediatrics Fellowship Program.</t>
  </si>
  <si>
    <t>Neonatal-Perinatal Medicine Fellowship Program.</t>
  </si>
  <si>
    <t>Pediatric Cardiology Fellowship Program.</t>
  </si>
  <si>
    <t>Pediatric Critical Care Medicine Fellowship Program.</t>
  </si>
  <si>
    <t>Pediatric Emergency Medicine Fellowship Program.</t>
  </si>
  <si>
    <t>Pediatric Endocrinology Fellowship Program.</t>
  </si>
  <si>
    <t>Pediatric Gastroenterology Fellowship Program.</t>
  </si>
  <si>
    <t>Pediatric Hematology-Oncology Fellowship Program.</t>
  </si>
  <si>
    <t>Pediatric Infectious Diseases Fellowship Program.</t>
  </si>
  <si>
    <t>Pediatric Nephrology Fellowship Program.</t>
  </si>
  <si>
    <t>Pediatric Pulmonology Fellowship Program.</t>
  </si>
  <si>
    <t>Pediatric Rheumatology Fellowship Program.</t>
  </si>
  <si>
    <t>Pediatric Transplant Hepatology Fellowship Program.</t>
  </si>
  <si>
    <t>Pediatrics Residency/Fellowship Programs, Other.</t>
  </si>
  <si>
    <t>Physical Medicine and Rehabilitation Residency/Fellowship Programs.</t>
  </si>
  <si>
    <t>Spinal Cord Injury Medicine Fellowship Program.</t>
  </si>
  <si>
    <t>Pediatric Rehabilitation Medicine Fellowship Program.</t>
  </si>
  <si>
    <t>Physical Medicine and Rehabilitation Residency/Fellowship Programs, Other.</t>
  </si>
  <si>
    <t>Plastic Surgery Residency/Fellowship Programs.</t>
  </si>
  <si>
    <t>Integrated Plastic Surgery Residency Program.</t>
  </si>
  <si>
    <t>Plastic Surgery Within the Head and Neck Fellowship Program.</t>
  </si>
  <si>
    <t>Plastic Surgery Residency/Fellowship Programs, Other.</t>
  </si>
  <si>
    <t>Podiatric Medicine Residency/Fellowship Programs.</t>
  </si>
  <si>
    <t>Podiatric Medicine and Surgery Residency Program.</t>
  </si>
  <si>
    <t>Podiatric Medicine Residency/Fellowship Programs, Other.</t>
  </si>
  <si>
    <t>Preventive Medicine Residency/Fellowship Programs.</t>
  </si>
  <si>
    <t>Preventive Medicine Residency/Fellowship Programs, Other.</t>
  </si>
  <si>
    <t>Psychiatry Residency/Fellowship Programs.</t>
  </si>
  <si>
    <t>Addiction Psychiatry Fellowship Program.</t>
  </si>
  <si>
    <t>Child and Adolescent Psychiatry Fellowship Program.</t>
  </si>
  <si>
    <t>Consultation-Liaison Psychiatry Fellowship Program.</t>
  </si>
  <si>
    <t>Forensic Psychiatry Fellowship Program.</t>
  </si>
  <si>
    <t>Geriatric Psychiatry Fellowship Program.</t>
  </si>
  <si>
    <t>Psychiatry Residency/Fellowship Programs, Other.</t>
  </si>
  <si>
    <t>Radiation Oncology Residency/Fellowship Programs.</t>
  </si>
  <si>
    <t>Radiation Oncology Residency/Fellowship Programs, Other.</t>
  </si>
  <si>
    <t>Radiology Residency/Fellowship Programs.</t>
  </si>
  <si>
    <t>Integrated Interventional Radiology Residency Program.</t>
  </si>
  <si>
    <t>Abdominal Radiology Fellowship Program.</t>
  </si>
  <si>
    <t>Musculoskeletal Radiology Fellowship Program.</t>
  </si>
  <si>
    <t>Neuroradiology Fellowship Program.</t>
  </si>
  <si>
    <t>Nuclear Radiology Fellowship Program.</t>
  </si>
  <si>
    <t>Pediatric Radiology Fellowship Program.</t>
  </si>
  <si>
    <t>Vascular and Interventional Radiology Fellowship Program.</t>
  </si>
  <si>
    <t>Radiology Residency/Fellowship Programs, Other.</t>
  </si>
  <si>
    <t>Surgery Residency/Fellowship Programs.</t>
  </si>
  <si>
    <t>Complex General Surgical Oncology Fellowship Program.</t>
  </si>
  <si>
    <t>Congenital Cardiac Surgery Fellowship Program.</t>
  </si>
  <si>
    <t>Pediatric Surgery Fellowship Program.</t>
  </si>
  <si>
    <t>Surgical Critical Care Fellowship Program.</t>
  </si>
  <si>
    <t>Thoracic Surgery Fellowship Program.</t>
  </si>
  <si>
    <t>Vascular Surgery Fellowship Program.</t>
  </si>
  <si>
    <t>Surgery Residency/Fellowship Programs, Other.</t>
  </si>
  <si>
    <t>Urology Residency/Fellowship Programs.</t>
  </si>
  <si>
    <t>Pediatric Urology Fellowship Program.</t>
  </si>
  <si>
    <t>Urology Residency/Fellowship Programs, Other.</t>
  </si>
  <si>
    <t>Medical Residency/Fellowship Programs, Other.</t>
  </si>
  <si>
    <t>Doctoral Summary</t>
  </si>
  <si>
    <t>NACE First-Destination Survey Template - Class of 2023</t>
  </si>
  <si>
    <t>Class of 2023:  July 1, 2022 - June 30, 2023</t>
  </si>
  <si>
    <r>
      <t xml:space="preserve">Deadline for Submission: </t>
    </r>
    <r>
      <rPr>
        <sz val="12"/>
        <color rgb="FFFF0000"/>
        <rFont val="Calibri"/>
        <family val="2"/>
        <scheme val="minor"/>
      </rPr>
      <t>April</t>
    </r>
    <r>
      <rPr>
        <sz val="12"/>
        <color indexed="10"/>
        <rFont val="Calibri"/>
        <family val="2"/>
      </rPr>
      <t xml:space="preserve"> 30, 2024</t>
    </r>
  </si>
  <si>
    <t xml:space="preserve">Please enter aggregated outcomes data for all students receiving an associate’s degree in the class of 2023 (please note: dual or multiple majors should be counted only once on this page). </t>
  </si>
  <si>
    <t xml:space="preserve">Please enter aggregated outcomes data for all students receiving a bachelor's degree in the class of 2023 (please note: dual or multiple majors should be counted only once on this page). </t>
  </si>
  <si>
    <t xml:space="preserve">Please enter aggregated outcomes data for all students receiving a master's degree in the class of 2023 (please note: dual or multiple majors should be counted only once on this page). </t>
  </si>
  <si>
    <t xml:space="preserve">Please enter aggregated outcomes data for all students receiving a doctoral degree in the class of 2023 (please note: dual or multiple majors should be counted only once on this page). </t>
  </si>
  <si>
    <t xml:space="preserve">On Master's and Doctoral tabs only* The number of graduates employed by an institution of higher learning to teach a set number of courses for a specified period of time—typically a semester appointment or a year-long contract. </t>
  </si>
  <si>
    <t>On Master's and Doctoral tabs only* The number of graduates contracted to be at an institution for a more extended period of time, e.g., for three years. At the end of the contracted period or sometime during the period, the graduate is promised to come under consideration for a “permanent” appointment.</t>
  </si>
  <si>
    <t># Post Grad Fellowship/ Internship FT</t>
  </si>
  <si>
    <t># Post Grad Fellowship/ Internship PT</t>
  </si>
  <si>
    <t>The number of graduates employed full-time (less than 30 hours per week) in postgraduate internships or fellowships. At the Doctoral level: named a fellowship/post doctoral program, e.g. residency*</t>
  </si>
  <si>
    <t>The number of graduates employed full-time (30 or more hours per week) in postgraduate internships or fellowships. At the Doctoral level: named a fellowship/post doctoral program, e.g. residency*</t>
  </si>
  <si>
    <t>The total number of known guaranteed bonus compensation for full-time employed graduates</t>
  </si>
  <si>
    <t>The number of graduates employed full-time (30 or more hours per week) as entrepreneurs - one who has started his own business (store, manufacturer, etc.) and has multiple customers/clients</t>
  </si>
  <si>
    <t>The number of graduates employed part-time  (less than 30 hours per week) as entrepreneurs - one who has started his own business (store, manufacturer, etc.) and has multiple customers/clients</t>
  </si>
  <si>
    <t>Official name of the higher education institution as reported to IPEDS</t>
  </si>
  <si>
    <t>#  Graduates Employed full-time in Traditional  Setting</t>
  </si>
  <si>
    <t>The number of graduates employed full-time (30 or more hours per week) in a traditional employment setting (work for a corporation or individual; receive regularly scheduled compensation; emplyment relationship does not have a specified end date)</t>
  </si>
  <si>
    <t>#  Graduates Employed Part-time in Traditional  Setting</t>
  </si>
  <si>
    <t>The number of graduates employed part-time (less than 30 hours per week) in a traditional employment setting (work for a corporation or individual; receive regularly scheduled compensation; emplyment relationship does not have a specified end date)</t>
  </si>
  <si>
    <t>A Better U Beauty Barber Academy</t>
  </si>
  <si>
    <t>A T Still University of Health Sciences</t>
  </si>
  <si>
    <t>Aaniiih Nakoda College</t>
  </si>
  <si>
    <t>ABC Adult School</t>
  </si>
  <si>
    <t>ABC Beauty Academy</t>
  </si>
  <si>
    <t>ABCO Technology</t>
  </si>
  <si>
    <t>Abcott Institute</t>
  </si>
  <si>
    <t>Abilene Christian University</t>
  </si>
  <si>
    <t>Abilene Christian University-Undergraduate Online</t>
  </si>
  <si>
    <t>Abraham Baldwin Agricultural College</t>
  </si>
  <si>
    <t>Abraham Lincoln University</t>
  </si>
  <si>
    <t>Academia Serrant Inc</t>
  </si>
  <si>
    <t>Academy College</t>
  </si>
  <si>
    <t>Academy Di Capelli-School of Cosmetology</t>
  </si>
  <si>
    <t>Academy di Firenze</t>
  </si>
  <si>
    <t>Academy for Careers and Technology</t>
  </si>
  <si>
    <t>Academy for Five Element Acupuncture</t>
  </si>
  <si>
    <t>Academy for Jewish Religion-California</t>
  </si>
  <si>
    <t>Academy for Nursing and Health Occupations</t>
  </si>
  <si>
    <t>Academy for Salon Professionals</t>
  </si>
  <si>
    <t>Academy of Allied Health Careers</t>
  </si>
  <si>
    <t>Academy of Art University</t>
  </si>
  <si>
    <t>Academy of Beauty Professionals</t>
  </si>
  <si>
    <t>Academy of Career Training</t>
  </si>
  <si>
    <t>Academy of Careers and Technology</t>
  </si>
  <si>
    <t>Academy of Chinese Culture and Health Sciences</t>
  </si>
  <si>
    <t>Academy of Cosmetology</t>
  </si>
  <si>
    <t>Academy of Cosmetology and Esthetics NYC</t>
  </si>
  <si>
    <t>Academy of Cosmetology Inc</t>
  </si>
  <si>
    <t>Academy of Esthetics and Cosmetology</t>
  </si>
  <si>
    <t>Academy of Hair Design-Grenada</t>
  </si>
  <si>
    <t>Academy of Hair Design-Jackson</t>
  </si>
  <si>
    <t>Academy of Hair Design-Jasper</t>
  </si>
  <si>
    <t>Academy of Hair Design-Las Vegas</t>
  </si>
  <si>
    <t>Academy of Hair Design-Lufkin</t>
  </si>
  <si>
    <t>Academy of Hair Design-Oklahoma City</t>
  </si>
  <si>
    <t>Academy of Hair Design-Pearl</t>
  </si>
  <si>
    <t>Academy of Hair Design-Springfield</t>
  </si>
  <si>
    <t>Academy of Hair Technology</t>
  </si>
  <si>
    <t>Academy of Interactive Entertainment</t>
  </si>
  <si>
    <t>Academy of Massage and Bodywork</t>
  </si>
  <si>
    <t>Academy of Natural Therapy Inc</t>
  </si>
  <si>
    <t>Academy of Professional Cosmetology</t>
  </si>
  <si>
    <t>Academy of Salon and Spa</t>
  </si>
  <si>
    <t>Academy of Salon Professionals</t>
  </si>
  <si>
    <t>Academy of Vocal Arts</t>
  </si>
  <si>
    <t>Acaydia School of Aesthetics</t>
  </si>
  <si>
    <t>Access Careers</t>
  </si>
  <si>
    <t>Access Careers-Islandia</t>
  </si>
  <si>
    <t>Ace Cosmetology and Barber Training Center</t>
  </si>
  <si>
    <t>Ace Institute of Technology</t>
  </si>
  <si>
    <t>Acupuncture and Integrative Medicine College-Berkeley</t>
  </si>
  <si>
    <t>Acupuncture and Massage College</t>
  </si>
  <si>
    <t>Adams State University</t>
  </si>
  <si>
    <t>Adelphi University</t>
  </si>
  <si>
    <t>Adler Graduate School</t>
  </si>
  <si>
    <t>Adler University</t>
  </si>
  <si>
    <t>Adrian College</t>
  </si>
  <si>
    <t>Adrian H. Wallace Barber Academy</t>
  </si>
  <si>
    <t>Adrian's Beauty College of Turlock</t>
  </si>
  <si>
    <t>Adult and Community Education-Hudson</t>
  </si>
  <si>
    <t>Adult and Continuing Education-BCTS</t>
  </si>
  <si>
    <t>Advance Beauty College</t>
  </si>
  <si>
    <t>Advance Beauty Techs Academy</t>
  </si>
  <si>
    <t>Advance Science International College</t>
  </si>
  <si>
    <t>Advanced Barber College and Hair Design</t>
  </si>
  <si>
    <t>Advanced Beauty College</t>
  </si>
  <si>
    <t>Advanced Career Institute</t>
  </si>
  <si>
    <t>Advanced College</t>
  </si>
  <si>
    <t>Advanced College of Cosmetology</t>
  </si>
  <si>
    <t>Advanced Technology Institute</t>
  </si>
  <si>
    <t>Advanced Training Institute</t>
  </si>
  <si>
    <t>Advanced Welding Institute</t>
  </si>
  <si>
    <t>Advantage Career Institute</t>
  </si>
  <si>
    <t>Advantage Technical College</t>
  </si>
  <si>
    <t>Advantage Technical College-Aguadilla</t>
  </si>
  <si>
    <t>AdventHealth University</t>
  </si>
  <si>
    <t>Aesthetic Science Institute</t>
  </si>
  <si>
    <t>Aesthetics Institute</t>
  </si>
  <si>
    <t>Agape College of Business and Science</t>
  </si>
  <si>
    <t>Agnes Scott College</t>
  </si>
  <si>
    <t>AI Miami International University of Art and Design</t>
  </si>
  <si>
    <t>Aiken School of Cosmetology and Barbering</t>
  </si>
  <si>
    <t>Aiken Technical College</t>
  </si>
  <si>
    <t>Aims Community College</t>
  </si>
  <si>
    <t>Air Force Institute of Technology-Graduate School of Engineering &amp; Management</t>
  </si>
  <si>
    <t>Alabama A &amp; M University</t>
  </si>
  <si>
    <t>Alabama College of Osteopathic Medicine</t>
  </si>
  <si>
    <t>Alabama School of Nail Technology &amp; Cosmetology</t>
  </si>
  <si>
    <t>Alabama State College of Barber Styling</t>
  </si>
  <si>
    <t>Alabama State University</t>
  </si>
  <si>
    <t>Alamance Community College</t>
  </si>
  <si>
    <t>Alamo City Barber College</t>
  </si>
  <si>
    <t>Alamo Community College District Central Office</t>
  </si>
  <si>
    <t>Alaska Bible College</t>
  </si>
  <si>
    <t>Alaska Career College</t>
  </si>
  <si>
    <t>Alaska Christian College</t>
  </si>
  <si>
    <t>Alaska Pacific University</t>
  </si>
  <si>
    <t>Alaska Vocational Technical Center</t>
  </si>
  <si>
    <t>Albany BOCES-Adult Practical Nursing Program</t>
  </si>
  <si>
    <t>Albany College of Pharmacy and Health Sciences</t>
  </si>
  <si>
    <t>Albany Law School</t>
  </si>
  <si>
    <t>Albany Medical College</t>
  </si>
  <si>
    <t>Albany State University</t>
  </si>
  <si>
    <t>Albany Technical College</t>
  </si>
  <si>
    <t>Albert Einstein College of Medicine</t>
  </si>
  <si>
    <t>Albertus Magnus College</t>
  </si>
  <si>
    <t>Albion College</t>
  </si>
  <si>
    <t>Albizu University-Miami</t>
  </si>
  <si>
    <t>Albizu University-San Juan</t>
  </si>
  <si>
    <t>Albright College</t>
  </si>
  <si>
    <t>Alcorn State University</t>
  </si>
  <si>
    <t>Alder Graduate School of Education</t>
  </si>
  <si>
    <t>Alderson Broaddus University</t>
  </si>
  <si>
    <t>Alexander Academy</t>
  </si>
  <si>
    <t>Alexander Paul Institute of Hair Design</t>
  </si>
  <si>
    <t>Alexandria School of Scientific Therapeutics</t>
  </si>
  <si>
    <t>Alexandria Technical &amp; Community College</t>
  </si>
  <si>
    <t>Alfred University</t>
  </si>
  <si>
    <t>Alhambra Beauty College</t>
  </si>
  <si>
    <t>Alhambra Medical University</t>
  </si>
  <si>
    <t>Alice Lloyd College</t>
  </si>
  <si>
    <t>All Beauty College</t>
  </si>
  <si>
    <t>Allan Hancock College</t>
  </si>
  <si>
    <t>Allegany College of Maryland</t>
  </si>
  <si>
    <t>Allegheny College</t>
  </si>
  <si>
    <t>Allegheny Wesleyan College</t>
  </si>
  <si>
    <t>Allegiance Beauty School</t>
  </si>
  <si>
    <t>Allen College</t>
  </si>
  <si>
    <t>Allen County Community College</t>
  </si>
  <si>
    <t>Allen School-Brooklyn</t>
  </si>
  <si>
    <t>Allen School-Jamaica</t>
  </si>
  <si>
    <t>Allen School-Phoenix</t>
  </si>
  <si>
    <t>Allen University</t>
  </si>
  <si>
    <t>Allgood Beauty Institute</t>
  </si>
  <si>
    <t>Alliance Career Center</t>
  </si>
  <si>
    <t>Alliance Computing Solutions</t>
  </si>
  <si>
    <t>Alliant International University-San Diego</t>
  </si>
  <si>
    <t>Allied Health Careers Institute</t>
  </si>
  <si>
    <t>All-State Career School</t>
  </si>
  <si>
    <t>All-State Career School-Pittsburgh</t>
  </si>
  <si>
    <t>All-State Career-Baltimore</t>
  </si>
  <si>
    <t>Allstate Hairstyling &amp; Barber College</t>
  </si>
  <si>
    <t>Allure Beauty College</t>
  </si>
  <si>
    <t>Alma College</t>
  </si>
  <si>
    <t>ALP International Corporation</t>
  </si>
  <si>
    <t>Alpena Community College</t>
  </si>
  <si>
    <t>Altierus Career College-Bissonnet</t>
  </si>
  <si>
    <t>Altierus Career College-Norcross</t>
  </si>
  <si>
    <t>Altierus Career College-Tampa</t>
  </si>
  <si>
    <t>Altoona Beauty School Inc</t>
  </si>
  <si>
    <t>Altura College</t>
  </si>
  <si>
    <t>Alvernia University</t>
  </si>
  <si>
    <t>Alverno College</t>
  </si>
  <si>
    <t>Alvin Community College</t>
  </si>
  <si>
    <t>Amarillo College</t>
  </si>
  <si>
    <t>Amberton University</t>
  </si>
  <si>
    <t>Ambria College of Nursing</t>
  </si>
  <si>
    <t>America Evangelical University</t>
  </si>
  <si>
    <t>American Academy McAllister Institute of Funeral Service</t>
  </si>
  <si>
    <t>American Academy of Art College</t>
  </si>
  <si>
    <t>American Academy of Cosmetology</t>
  </si>
  <si>
    <t>American Academy of Dramatic Arts-Los Angeles</t>
  </si>
  <si>
    <t>American Academy of Dramatic Arts-New York</t>
  </si>
  <si>
    <t>American Academy of Health and Beauty</t>
  </si>
  <si>
    <t>American Academy of Health and Wellness</t>
  </si>
  <si>
    <t>American Advanced Technicians Institute</t>
  </si>
  <si>
    <t>American Baptist College</t>
  </si>
  <si>
    <t>American Barber and Beauty Academy</t>
  </si>
  <si>
    <t>American Beauty Academy</t>
  </si>
  <si>
    <t>American Beauty Academy-West Valley Campus</t>
  </si>
  <si>
    <t>American Beauty College</t>
  </si>
  <si>
    <t>American Beauty School</t>
  </si>
  <si>
    <t>American Beauty Schools</t>
  </si>
  <si>
    <t>American Business and Technology University</t>
  </si>
  <si>
    <t>American Career College-Anaheim</t>
  </si>
  <si>
    <t>American Career College-Los Angeles</t>
  </si>
  <si>
    <t>American Career College-Ontario</t>
  </si>
  <si>
    <t>American College of Acupuncture and Oriental Med</t>
  </si>
  <si>
    <t>American College of Barbering</t>
  </si>
  <si>
    <t>American College of Education</t>
  </si>
  <si>
    <t>American College of Financial Services</t>
  </si>
  <si>
    <t>American College of Hair Design Inc</t>
  </si>
  <si>
    <t>American College of Healthcare and Technology</t>
  </si>
  <si>
    <t>American College of Healthcare Sciences</t>
  </si>
  <si>
    <t>American College of the Building Arts</t>
  </si>
  <si>
    <t>American Conservatory Theater</t>
  </si>
  <si>
    <t>American Educational College</t>
  </si>
  <si>
    <t>American Film Institute Conservatory</t>
  </si>
  <si>
    <t>American Fitness and Nutrition Academy</t>
  </si>
  <si>
    <t>American Hair Academy</t>
  </si>
  <si>
    <t>American Indian OIC Inc</t>
  </si>
  <si>
    <t>American Institute of Alternative Medicine</t>
  </si>
  <si>
    <t>American Institute of Beauty</t>
  </si>
  <si>
    <t>American Institute of Healthcare &amp; Technology</t>
  </si>
  <si>
    <t>American Institute of Interior Design</t>
  </si>
  <si>
    <t>American Institute of Massage Therapy</t>
  </si>
  <si>
    <t>American Institute of Medical Sciences &amp; Education</t>
  </si>
  <si>
    <t>American Institute-Cherry Hill</t>
  </si>
  <si>
    <t>American Institute-Clifton</t>
  </si>
  <si>
    <t>American Institute-Somerset</t>
  </si>
  <si>
    <t>American Institute-Toms River</t>
  </si>
  <si>
    <t>American Institute-West Hartford</t>
  </si>
  <si>
    <t>American InterContinental University</t>
  </si>
  <si>
    <t>American InterContinental University-Atlanta</t>
  </si>
  <si>
    <t>American InterContinental University-Houston</t>
  </si>
  <si>
    <t>American International College</t>
  </si>
  <si>
    <t>American Islamic College</t>
  </si>
  <si>
    <t>American Jewish University</t>
  </si>
  <si>
    <t>American Massage &amp; Bodywork Institute</t>
  </si>
  <si>
    <t>American Medical Academy</t>
  </si>
  <si>
    <t>American Medical Institute Inc.</t>
  </si>
  <si>
    <t>American Medical Sciences Center</t>
  </si>
  <si>
    <t>American Musical and Dramatic Academy</t>
  </si>
  <si>
    <t>American National University</t>
  </si>
  <si>
    <t>American National University-Pikeville</t>
  </si>
  <si>
    <t>American Public University System</t>
  </si>
  <si>
    <t>American River College</t>
  </si>
  <si>
    <t>American Samoa Community College</t>
  </si>
  <si>
    <t>American Sentinel College of Nursing and Health Sciences</t>
  </si>
  <si>
    <t>American Technical Institute</t>
  </si>
  <si>
    <t>American Trade School</t>
  </si>
  <si>
    <t>American University</t>
  </si>
  <si>
    <t>American University of Health Sciences</t>
  </si>
  <si>
    <t>American University of Puerto Rico</t>
  </si>
  <si>
    <t>AmeriTech College-Draper</t>
  </si>
  <si>
    <t>AMG School of Nursing</t>
  </si>
  <si>
    <t>Amherst College</t>
  </si>
  <si>
    <t>Amridge University</t>
  </si>
  <si>
    <t>Amslee Institute</t>
  </si>
  <si>
    <t>Ana G. Mendez University</t>
  </si>
  <si>
    <t>Anabaptist Mennonite Biblical Seminary</t>
  </si>
  <si>
    <t>Ancilla College</t>
  </si>
  <si>
    <t>Anderson University</t>
  </si>
  <si>
    <t>Andrew College</t>
  </si>
  <si>
    <t>Andrews University</t>
  </si>
  <si>
    <t>Angeles College</t>
  </si>
  <si>
    <t>Angeles Institute</t>
  </si>
  <si>
    <t>Angelina College</t>
  </si>
  <si>
    <t>Angelo State University</t>
  </si>
  <si>
    <t>Animal Behavior College</t>
  </si>
  <si>
    <t>Ann Webb Skin Institute</t>
  </si>
  <si>
    <t>Anna Maria College</t>
  </si>
  <si>
    <t>Anne Arundel Community College</t>
  </si>
  <si>
    <t>Annenberg School of Nursing</t>
  </si>
  <si>
    <t>Anoka Technical College</t>
  </si>
  <si>
    <t>Anoka-Ramsey Community College</t>
  </si>
  <si>
    <t>Another Level Barbering and Cosmetology School</t>
  </si>
  <si>
    <t>Anousheh School of Hair</t>
  </si>
  <si>
    <t>Anson College of Cosmetology</t>
  </si>
  <si>
    <t>Antelope Valley Community College District</t>
  </si>
  <si>
    <t>Antigua College International</t>
  </si>
  <si>
    <t>Antilles School of Technical Careers</t>
  </si>
  <si>
    <t>Antioch College</t>
  </si>
  <si>
    <t>Antioch University</t>
  </si>
  <si>
    <t>Antioch University Online</t>
  </si>
  <si>
    <t>Antioch University-Los Angeles</t>
  </si>
  <si>
    <t>Antioch University-New England</t>
  </si>
  <si>
    <t>Antioch University-PhD Program in Leadership and Change</t>
  </si>
  <si>
    <t>Antioch University-Santa Barbara</t>
  </si>
  <si>
    <t>Antioch University-Seattle</t>
  </si>
  <si>
    <t>Antioch University-System Administration</t>
  </si>
  <si>
    <t>AOMA Graduate School of Integrative Medicine</t>
  </si>
  <si>
    <t>Aparicio-Levy Technical College</t>
  </si>
  <si>
    <t>Apex Academy Hair Skin Nails School of Cosmetology</t>
  </si>
  <si>
    <t>Apex College of Veterinary Technology</t>
  </si>
  <si>
    <t>Apex Technical School</t>
  </si>
  <si>
    <t>Apollo Career Center</t>
  </si>
  <si>
    <t>Appalachian Beauty School</t>
  </si>
  <si>
    <t>Appalachian Bible College</t>
  </si>
  <si>
    <t>Appalachian College of Pharmacy</t>
  </si>
  <si>
    <t>Appalachian School of Law</t>
  </si>
  <si>
    <t>Appalachian State University</t>
  </si>
  <si>
    <t>Applied Technology Services</t>
  </si>
  <si>
    <t>Aquinas College</t>
  </si>
  <si>
    <t>Aquinas Institute of Theology</t>
  </si>
  <si>
    <t>Arapahoe Community College</t>
  </si>
  <si>
    <t>Arcadia University</t>
  </si>
  <si>
    <t>Arclabs</t>
  </si>
  <si>
    <t>Arizona Academy of Beauty</t>
  </si>
  <si>
    <t>Arizona Board of Regents</t>
  </si>
  <si>
    <t>Arizona Christian University</t>
  </si>
  <si>
    <t>Arizona College of Nursing-Dallas</t>
  </si>
  <si>
    <t>Arizona College of Nursing-Fort Lauderdale</t>
  </si>
  <si>
    <t>Arizona College of Nursing-Las Vegas</t>
  </si>
  <si>
    <t>Arizona College of Nursing-Phoenix</t>
  </si>
  <si>
    <t>Arizona College of Nursing-Salt Lake City</t>
  </si>
  <si>
    <t>Arizona College of Nursing-Tampa</t>
  </si>
  <si>
    <t>Arizona College of Nursing-Tempe</t>
  </si>
  <si>
    <t>Arizona College of Nursing-Tucson</t>
  </si>
  <si>
    <t>Arizona College-Glendale</t>
  </si>
  <si>
    <t>Arizona College-Mesa</t>
  </si>
  <si>
    <t>Arizona Culinary Institute</t>
  </si>
  <si>
    <t>Arizona School of Acupuncture and Oriental Medicine</t>
  </si>
  <si>
    <t>Arizona School of Integrative Studies</t>
  </si>
  <si>
    <t>Arizona State University Campus Immersion</t>
  </si>
  <si>
    <t>Arizona State University Digital Immersion</t>
  </si>
  <si>
    <t>Arizona Western College</t>
  </si>
  <si>
    <t>Arkansas Baptist College</t>
  </si>
  <si>
    <t>Arkansas Beauty College</t>
  </si>
  <si>
    <t>Arkansas Beauty School-Little Rock</t>
  </si>
  <si>
    <t>Arkansas Colleges of Health Education</t>
  </si>
  <si>
    <t>Arkansas Northeastern College</t>
  </si>
  <si>
    <t>Arkansas State University</t>
  </si>
  <si>
    <t>Arkansas State University Mid-South</t>
  </si>
  <si>
    <t>Arkansas State University System</t>
  </si>
  <si>
    <t>Arkansas State University Three Rivers</t>
  </si>
  <si>
    <t>Arkansas State University-Beebe</t>
  </si>
  <si>
    <t>Arkansas State University-Mountain Home</t>
  </si>
  <si>
    <t>Arkansas State University-Newport</t>
  </si>
  <si>
    <t>Arkansas Tech University</t>
  </si>
  <si>
    <t>Arkansas Technical School</t>
  </si>
  <si>
    <t>Arkansas Welding Academy</t>
  </si>
  <si>
    <t>Arlington Baptist University</t>
  </si>
  <si>
    <t>Arlington Career Institute</t>
  </si>
  <si>
    <t>Arnolds Beauty School</t>
  </si>
  <si>
    <t>Arnot Ogden Medical Center</t>
  </si>
  <si>
    <t>Arrojo Cosmetology School</t>
  </si>
  <si>
    <t>Art Academy of Cincinnati</t>
  </si>
  <si>
    <t>Art Center College of Design</t>
  </si>
  <si>
    <t>Arthur's Beauty College</t>
  </si>
  <si>
    <t>Artistic Academy of Hair Design</t>
  </si>
  <si>
    <t>Artistic Nails and Beauty Academy-Lakeland</t>
  </si>
  <si>
    <t>Artistic Nails and Beauty Academy-Tampa</t>
  </si>
  <si>
    <t>ASA College</t>
  </si>
  <si>
    <t>Asbury Theological Seminary</t>
  </si>
  <si>
    <t>Asbury University</t>
  </si>
  <si>
    <t>Ascent College</t>
  </si>
  <si>
    <t>Asher College</t>
  </si>
  <si>
    <t>Asher Institute of Hampton</t>
  </si>
  <si>
    <t>Asheville-Buncombe Technical Community College</t>
  </si>
  <si>
    <t>Ashford University</t>
  </si>
  <si>
    <t>Ashland Community and Technical College</t>
  </si>
  <si>
    <t>Ashland County-West Holmes Career Center</t>
  </si>
  <si>
    <t>Ashland University</t>
  </si>
  <si>
    <t>Ashtabula County Technical and Career Campus</t>
  </si>
  <si>
    <t>ASI Career Institute</t>
  </si>
  <si>
    <t>Asian-American International Beauty College</t>
  </si>
  <si>
    <t>ASM Beauty World Academy</t>
  </si>
  <si>
    <t>Asnuntuck Community College</t>
  </si>
  <si>
    <t>Aspen Beauty Academy of Laurel</t>
  </si>
  <si>
    <t>Aspen University</t>
  </si>
  <si>
    <t>ASPIRA City College</t>
  </si>
  <si>
    <t>Assabet Valley Regional Technical School</t>
  </si>
  <si>
    <t>Associated Barber College of San Diego</t>
  </si>
  <si>
    <t>Associated Beth Rivkah Schools</t>
  </si>
  <si>
    <t>Associated Technical College-Los Angeles</t>
  </si>
  <si>
    <t>Associated Technical College-San Diego</t>
  </si>
  <si>
    <t>Assumption College for Sisters</t>
  </si>
  <si>
    <t>Assumption University</t>
  </si>
  <si>
    <t>ATA Career Education</t>
  </si>
  <si>
    <t>ATA College</t>
  </si>
  <si>
    <t>ATA College-Cincinnati</t>
  </si>
  <si>
    <t>Atelier Esthetique Institute of Esthetics</t>
  </si>
  <si>
    <t>Atenas College</t>
  </si>
  <si>
    <t>Athena Career Academy</t>
  </si>
  <si>
    <t>Athenaeum of Ohio</t>
  </si>
  <si>
    <t>Athens State University</t>
  </si>
  <si>
    <t>Athens Technical College</t>
  </si>
  <si>
    <t>ATI College-Whittier</t>
  </si>
  <si>
    <t>Atlanta Institute of Music and Media</t>
  </si>
  <si>
    <t>Atlanta Metropolitan State College</t>
  </si>
  <si>
    <t>Atlanta School of Massage</t>
  </si>
  <si>
    <t>Atlanta Technical College</t>
  </si>
  <si>
    <t>Atlanta's John Marshall Law School</t>
  </si>
  <si>
    <t>Atlantic Cape Community College</t>
  </si>
  <si>
    <t>Atlantic Institute of Oriental Medicine</t>
  </si>
  <si>
    <t>Atlantic Technical College</t>
  </si>
  <si>
    <t>Atlantic University College</t>
  </si>
  <si>
    <t>Atlantis University</t>
  </si>
  <si>
    <t>Auburn Career Center</t>
  </si>
  <si>
    <t>Auburn University</t>
  </si>
  <si>
    <t>Auburn University at Montgomery</t>
  </si>
  <si>
    <t>Augsburg University</t>
  </si>
  <si>
    <t>Augusta School of Massage</t>
  </si>
  <si>
    <t>Augusta Technical College</t>
  </si>
  <si>
    <t>Augusta University</t>
  </si>
  <si>
    <t>Augustana College</t>
  </si>
  <si>
    <t>Augustana University</t>
  </si>
  <si>
    <t>Auguste Escoffier School of Culinary Arts-Austin</t>
  </si>
  <si>
    <t>Auguste Escoffier School of Culinary Arts-Boulder</t>
  </si>
  <si>
    <t>Aultman College of Nursing and Health Sciences</t>
  </si>
  <si>
    <t>Aurora University</t>
  </si>
  <si>
    <t>Austin Career Institute</t>
  </si>
  <si>
    <t>Austin College</t>
  </si>
  <si>
    <t>Austin Community College District</t>
  </si>
  <si>
    <t>Austin Graduate School of Theology</t>
  </si>
  <si>
    <t>Austin Kade Academy</t>
  </si>
  <si>
    <t>Austin Peay State University</t>
  </si>
  <si>
    <t>Austin Presbyterian Theological Seminary</t>
  </si>
  <si>
    <t>Austin's Beauty College Inc</t>
  </si>
  <si>
    <t>Automeca Technical College-Aguadilla</t>
  </si>
  <si>
    <t>Automeca Technical College-Bayamon</t>
  </si>
  <si>
    <t>Automeca Technical College-Caguas</t>
  </si>
  <si>
    <t>Automeca Technical College-Ponce</t>
  </si>
  <si>
    <t>Automotive Training Center-Exton</t>
  </si>
  <si>
    <t>Automotive Training Center-Warminster</t>
  </si>
  <si>
    <t>Autry Technology Center</t>
  </si>
  <si>
    <t>Avalon Institute-Aurora</t>
  </si>
  <si>
    <t>Avalon Institute-Las Vegas</t>
  </si>
  <si>
    <t>Avalon Institute-Layton</t>
  </si>
  <si>
    <t>Avalon Institute-Mesa</t>
  </si>
  <si>
    <t>Avalon Institute-Phoenix</t>
  </si>
  <si>
    <t>Avalon School of Cosmetology</t>
  </si>
  <si>
    <t>Ave Maria School of Law</t>
  </si>
  <si>
    <t>Ave Maria University</t>
  </si>
  <si>
    <t>Aveda Arts &amp; Sciences Institute Minneapolis</t>
  </si>
  <si>
    <t>Aveda Arts &amp; Sciences Institute Seattle</t>
  </si>
  <si>
    <t>Aveda Arts &amp; Sciences Institute-Baton Rouge</t>
  </si>
  <si>
    <t>Aveda Arts &amp; Sciences Institute-Covington</t>
  </si>
  <si>
    <t>Aveda Arts &amp; Sciences Institute-Lafayette</t>
  </si>
  <si>
    <t>Aveda Arts &amp; Sciences Institute-New York</t>
  </si>
  <si>
    <t>Aveda Arts &amp; Sciences Institute-San Antonio</t>
  </si>
  <si>
    <t>Aveda Fredric's Institute-Cincinnati</t>
  </si>
  <si>
    <t>Aveda Fredric's Institute-Indianapolis</t>
  </si>
  <si>
    <t>Aveda Institute Portland-Vancouver Campus</t>
  </si>
  <si>
    <t>Aveda Institute-Boise</t>
  </si>
  <si>
    <t>Aveda Institute-Chapel Hill</t>
  </si>
  <si>
    <t>Aveda Institute-Chicago</t>
  </si>
  <si>
    <t>Aveda Institute-Columbus</t>
  </si>
  <si>
    <t>Aveda Institute-Denver</t>
  </si>
  <si>
    <t>Aveda Institute-Des Moines</t>
  </si>
  <si>
    <t>Aveda Institute-Los Angeles</t>
  </si>
  <si>
    <t>Aveda Institute-Madison</t>
  </si>
  <si>
    <t>Aveda Institute-Maryland</t>
  </si>
  <si>
    <t>Aveda Institute-New Mexico</t>
  </si>
  <si>
    <t>Aveda Institute-Phoenix</t>
  </si>
  <si>
    <t>Aveda Institute-Portland</t>
  </si>
  <si>
    <t>Aveda Institute-Provo</t>
  </si>
  <si>
    <t>Aveda Institute-South Florida</t>
  </si>
  <si>
    <t>Aveda Institute-Tallahassee</t>
  </si>
  <si>
    <t>Aveda Institute-Tucson</t>
  </si>
  <si>
    <t>Aveda Institute-Twin Falls</t>
  </si>
  <si>
    <t>Avenue Academy, A Cosmetology Institute</t>
  </si>
  <si>
    <t>Avenue Five Institute</t>
  </si>
  <si>
    <t>Avenue Five Institute-South Austin Campus</t>
  </si>
  <si>
    <t>Avera McKennan Hospital School of Radiologic Technology</t>
  </si>
  <si>
    <t>Avera Sacred Heart Hospital</t>
  </si>
  <si>
    <t>Averett University</t>
  </si>
  <si>
    <t>Averett University-Non-Traditional Programs</t>
  </si>
  <si>
    <t>Avery James School of Cosmetology</t>
  </si>
  <si>
    <t>Avi Career Training</t>
  </si>
  <si>
    <t>Aviation Institute of Maintenance-Atlanta</t>
  </si>
  <si>
    <t>Aviation Institute of Maintenance-Charlotte</t>
  </si>
  <si>
    <t>Aviation Institute of Maintenance-Dallas</t>
  </si>
  <si>
    <t>Aviation Institute of Maintenance-Fremont</t>
  </si>
  <si>
    <t>Aviation Institute of Maintenance-Houston</t>
  </si>
  <si>
    <t>Aviation Institute of Maintenance-Indianapolis</t>
  </si>
  <si>
    <t>Aviation Institute of Maintenance-Kansas City</t>
  </si>
  <si>
    <t>Aviation Institute of Maintenance-Las Vegas</t>
  </si>
  <si>
    <t>Aviation Institute of Maintenance-Manassas</t>
  </si>
  <si>
    <t>Aviation Institute of Maintenance-Norfolk</t>
  </si>
  <si>
    <t>Aviation Institute of Maintenance-Orlando</t>
  </si>
  <si>
    <t>Aviation Institute of Maintenance-Philadelphia</t>
  </si>
  <si>
    <t>Aviation Institute of Maintenance-Teterboro</t>
  </si>
  <si>
    <t>Aviator College of Aeronautical Science and Technology</t>
  </si>
  <si>
    <t>Avila University</t>
  </si>
  <si>
    <t>Award Beauty School</t>
  </si>
  <si>
    <t>Ayers Career College</t>
  </si>
  <si>
    <t>Azusa Pacific University</t>
  </si>
  <si>
    <t>B M Spurr School of Practical Nursing</t>
  </si>
  <si>
    <t>Babson College</t>
  </si>
  <si>
    <t>Bacone College</t>
  </si>
  <si>
    <t>Bais Binyomin Academy</t>
  </si>
  <si>
    <t>Bais HaMedrash and Mesivta of Baltimore</t>
  </si>
  <si>
    <t>Bais Medrash Elyon</t>
  </si>
  <si>
    <t>Bais Medrash Mayan Hatorah</t>
  </si>
  <si>
    <t>Bais Medrash of Dexter Park</t>
  </si>
  <si>
    <t>Bais Medrash Toras Chesed</t>
  </si>
  <si>
    <t>Baker College</t>
  </si>
  <si>
    <t>Baker University</t>
  </si>
  <si>
    <t>Bakersfield College</t>
  </si>
  <si>
    <t>Bakke Graduate University</t>
  </si>
  <si>
    <t>Baldwin Beauty School-North Austin</t>
  </si>
  <si>
    <t>Baldwin Beauty School-South Austin</t>
  </si>
  <si>
    <t>Baldwin Park Adult &amp; Community Education</t>
  </si>
  <si>
    <t>Baldwin Wallace University</t>
  </si>
  <si>
    <t>Baldy View Regional Occupational Program</t>
  </si>
  <si>
    <t>Ball State University</t>
  </si>
  <si>
    <t>Baltimore City Community College</t>
  </si>
  <si>
    <t>Baltimore Studio of Hair Design</t>
  </si>
  <si>
    <t>Bancroft School of Massage Therapy</t>
  </si>
  <si>
    <t>Bank Street College of Education</t>
  </si>
  <si>
    <t>Baptist Bible College</t>
  </si>
  <si>
    <t>Baptist Health College Little Rock</t>
  </si>
  <si>
    <t>Baptist Health Sciences University</t>
  </si>
  <si>
    <t>Baptist Health System School of Health Professions</t>
  </si>
  <si>
    <t>Baptist Missionary Association Theological Seminary</t>
  </si>
  <si>
    <t>Baptist University of the Americas</t>
  </si>
  <si>
    <t>Barber &amp; Beauty Institute of New York</t>
  </si>
  <si>
    <t>Barber and Beauty Academy of Pennsylvania</t>
  </si>
  <si>
    <t>Barber Institute of Texas</t>
  </si>
  <si>
    <t>Barber School of Pittsburgh</t>
  </si>
  <si>
    <t>Barber Tech Academy</t>
  </si>
  <si>
    <t>Barclay College</t>
  </si>
  <si>
    <t>Bard College</t>
  </si>
  <si>
    <t>Bard College at Simon's Rock</t>
  </si>
  <si>
    <t>Barnard College</t>
  </si>
  <si>
    <t>Barnes-Jewish College Goldfarb School of Nursing</t>
  </si>
  <si>
    <t>Barrett and Company School of Hair Design</t>
  </si>
  <si>
    <t>Barry University</t>
  </si>
  <si>
    <t>Barstow Community College</t>
  </si>
  <si>
    <t>Barton College</t>
  </si>
  <si>
    <t>Barton County Community College</t>
  </si>
  <si>
    <t>Bastyr University</t>
  </si>
  <si>
    <t>Bates College</t>
  </si>
  <si>
    <t>Bates Technical College</t>
  </si>
  <si>
    <t>Baton Rouge Community College</t>
  </si>
  <si>
    <t>Baton Rouge General Medical Center School of Nursing &amp; School of Radiologic Technology</t>
  </si>
  <si>
    <t>Baton Rouge School of Computers</t>
  </si>
  <si>
    <t>Bay Area Medical Academy</t>
  </si>
  <si>
    <t>Bay de Noc Community College</t>
  </si>
  <si>
    <t>Bay Mills Community College</t>
  </si>
  <si>
    <t>Bay Path University</t>
  </si>
  <si>
    <t>Bay State College</t>
  </si>
  <si>
    <t>Bayamon Community College</t>
  </si>
  <si>
    <t>Baylor College of Medicine</t>
  </si>
  <si>
    <t>Baylor University</t>
  </si>
  <si>
    <t>Bayshire Academy of Beauty Craft Inc</t>
  </si>
  <si>
    <t>Beacon College</t>
  </si>
  <si>
    <t>Beal University</t>
  </si>
  <si>
    <t>Beau Monde Academy of Barbering and Cosmetology</t>
  </si>
  <si>
    <t>Beaufort County Community College</t>
  </si>
  <si>
    <t>Beaumont Adult School</t>
  </si>
  <si>
    <t>Beauty Academy of South Florida</t>
  </si>
  <si>
    <t>Beauty Technical College Inc</t>
  </si>
  <si>
    <t>Beaver Falls Beauty Academy</t>
  </si>
  <si>
    <t>Becker College</t>
  </si>
  <si>
    <t>Beckfield College-Florence</t>
  </si>
  <si>
    <t>Be'er Yaakov Talmudic Seminary</t>
  </si>
  <si>
    <t>Beis Medrash Heichal Dovid</t>
  </si>
  <si>
    <t>Belanger School of Nursing</t>
  </si>
  <si>
    <t>Belhaven University</t>
  </si>
  <si>
    <t>Bell Mar Beauty College</t>
  </si>
  <si>
    <t>Bella Academy of Cosmetology</t>
  </si>
  <si>
    <t>Bella Capelli Academy</t>
  </si>
  <si>
    <t>Bella Cosmetology and Barber College</t>
  </si>
  <si>
    <t>Bellarmine University</t>
  </si>
  <si>
    <t>Bellasa Professional Institute</t>
  </si>
  <si>
    <t>Bell-Brown Medical Institute</t>
  </si>
  <si>
    <t>Belle Academy of Cosmetology LLC</t>
  </si>
  <si>
    <t>Bellevue College</t>
  </si>
  <si>
    <t>Bellevue University</t>
  </si>
  <si>
    <t>Bellin College</t>
  </si>
  <si>
    <t>Bellingham Technical College</t>
  </si>
  <si>
    <t>Bellus Academy</t>
  </si>
  <si>
    <t>Bellus Academy-Chula Vista</t>
  </si>
  <si>
    <t>Bellus Academy-El Cajon</t>
  </si>
  <si>
    <t>Bellus Academy-Poway</t>
  </si>
  <si>
    <t>Belmont Abbey College</t>
  </si>
  <si>
    <t>Belmont College</t>
  </si>
  <si>
    <t>Belmont University</t>
  </si>
  <si>
    <t>Beloit College</t>
  </si>
  <si>
    <t>Bel-Rea Institute of Animal Technology</t>
  </si>
  <si>
    <t>Bemidji State University</t>
  </si>
  <si>
    <t>Ben Franklin Career Center</t>
  </si>
  <si>
    <t>Benedict College</t>
  </si>
  <si>
    <t>Benedictine College</t>
  </si>
  <si>
    <t>Benedictine University</t>
  </si>
  <si>
    <t>Bene's Career Academy</t>
  </si>
  <si>
    <t>Benjamin Franklin Institute of Technology</t>
  </si>
  <si>
    <t>Bennett Career Institute</t>
  </si>
  <si>
    <t>Bennett College</t>
  </si>
  <si>
    <t>Bennington College</t>
  </si>
  <si>
    <t>Bentley University</t>
  </si>
  <si>
    <t>Berea College</t>
  </si>
  <si>
    <t>Bergen Community College</t>
  </si>
  <si>
    <t>Bergin University of Canine Studies</t>
  </si>
  <si>
    <t>Berk Trade and Business School</t>
  </si>
  <si>
    <t>Berkeley City College</t>
  </si>
  <si>
    <t>Berkeley College-New York</t>
  </si>
  <si>
    <t>Berkeley College-Woodland Park</t>
  </si>
  <si>
    <t>Berkeley School of Theology</t>
  </si>
  <si>
    <t>Berklee College of Music</t>
  </si>
  <si>
    <t>Berkowits School of Electrolysis</t>
  </si>
  <si>
    <t>Berks Career &amp; Technology Center</t>
  </si>
  <si>
    <t>Berkshire Community College</t>
  </si>
  <si>
    <t>Berry College</t>
  </si>
  <si>
    <t>Best Care College</t>
  </si>
  <si>
    <t>Bet Medrash Gadol Ateret Torah</t>
  </si>
  <si>
    <t>Beth Hamedrash Shaarei Yosher Institute</t>
  </si>
  <si>
    <t>Beth Medrash Govoha</t>
  </si>
  <si>
    <t>Beth Medrash Meor Yitzchok</t>
  </si>
  <si>
    <t>Beth Medrash of Asbury Park</t>
  </si>
  <si>
    <t>Bethany College</t>
  </si>
  <si>
    <t>Bethany Global University</t>
  </si>
  <si>
    <t>Bethany Lutheran College</t>
  </si>
  <si>
    <t>Bethany Theological Seminary</t>
  </si>
  <si>
    <t>Bethel College-North Newton</t>
  </si>
  <si>
    <t>Bethel Seminary-San Diego</t>
  </si>
  <si>
    <t>Bethel University</t>
  </si>
  <si>
    <t>Bethesda University</t>
  </si>
  <si>
    <t>Bethlehem College &amp; Seminary</t>
  </si>
  <si>
    <t>Bethune-Cookman University</t>
  </si>
  <si>
    <t>Beulah Heights University</t>
  </si>
  <si>
    <t>Beverly Hills Design Institute</t>
  </si>
  <si>
    <t>Bevill State Community College</t>
  </si>
  <si>
    <t>Bexley Hall Seabury Western Theological Seminary Federation, Inc.</t>
  </si>
  <si>
    <t>Beyond 21st Century Beauty Academy</t>
  </si>
  <si>
    <t>Beyond Measure Barbering Institute</t>
  </si>
  <si>
    <t>Big Bend Community College</t>
  </si>
  <si>
    <t>Big Bend Technical College</t>
  </si>
  <si>
    <t>Big Sandy Community and Technical College</t>
  </si>
  <si>
    <t>Binghamton University</t>
  </si>
  <si>
    <t>Biola University</t>
  </si>
  <si>
    <t>Birmingham-Southern College</t>
  </si>
  <si>
    <t>Birthingway College of Midwifery</t>
  </si>
  <si>
    <t>Birthwise Midwifery School</t>
  </si>
  <si>
    <t>Bishop State Community College</t>
  </si>
  <si>
    <t>Bismarck State College</t>
  </si>
  <si>
    <t>Bitterroot School of Cosmetology</t>
  </si>
  <si>
    <t>BJ's Beauty &amp; Barber College</t>
  </si>
  <si>
    <t>BK Cosmo College of Cosmetology</t>
  </si>
  <si>
    <t>Black Hawk College</t>
  </si>
  <si>
    <t>Black Hills State University</t>
  </si>
  <si>
    <t>Black River Technical College</t>
  </si>
  <si>
    <t>Blackburn College</t>
  </si>
  <si>
    <t>Blackfeet Community College</t>
  </si>
  <si>
    <t>Blackhawk Technical College</t>
  </si>
  <si>
    <t>Blackstone Valley Vocational Regional School District</t>
  </si>
  <si>
    <t>Bladen Community College</t>
  </si>
  <si>
    <t>Blades School of Hair Design</t>
  </si>
  <si>
    <t>Blake Austin College</t>
  </si>
  <si>
    <t>Blalock's Professional Beauty College</t>
  </si>
  <si>
    <t>Blessing Hospital School of Radiologic Technology</t>
  </si>
  <si>
    <t>Blessing Rieman College of Nursing and Health Sciences</t>
  </si>
  <si>
    <t>Blinn College</t>
  </si>
  <si>
    <t>Bloomfield College</t>
  </si>
  <si>
    <t>Bloomsburg University of Pennsylvania</t>
  </si>
  <si>
    <t>Blue Cliff Career College</t>
  </si>
  <si>
    <t>Blue Cliff College-Alexandria</t>
  </si>
  <si>
    <t>Blue Cliff College-Fayetteville</t>
  </si>
  <si>
    <t>Blue Cliff College-Gulfport</t>
  </si>
  <si>
    <t>Blue Cliff College-Houma</t>
  </si>
  <si>
    <t>Blue Cliff College-Lafayette</t>
  </si>
  <si>
    <t>Blue Cliff College-Metairie</t>
  </si>
  <si>
    <t>Blue Hills Regional Technical School</t>
  </si>
  <si>
    <t>Blue Mountain College</t>
  </si>
  <si>
    <t>Blue Mountain Community College</t>
  </si>
  <si>
    <t>Blue Ridge Community and Technical College</t>
  </si>
  <si>
    <t>Blue Ridge Community College</t>
  </si>
  <si>
    <t>Bluefield State College</t>
  </si>
  <si>
    <t>Bluefield University</t>
  </si>
  <si>
    <t>Bluegrass Community and Technical College</t>
  </si>
  <si>
    <t>Bluffton University</t>
  </si>
  <si>
    <t>Blush School of Makeup</t>
  </si>
  <si>
    <t>Bnos Zion Of Bobov Seminary</t>
  </si>
  <si>
    <t>Board of Trustees-Mississippi State Institutions of Higher Learning</t>
  </si>
  <si>
    <t>Bob Jones University</t>
  </si>
  <si>
    <t>Boca Beauty Academy</t>
  </si>
  <si>
    <t>Boca Beauty Academy-Parkland</t>
  </si>
  <si>
    <t>Body Wisdom Massage Therapy School</t>
  </si>
  <si>
    <t>Boise Barber College</t>
  </si>
  <si>
    <t>Boise Bible College</t>
  </si>
  <si>
    <t>Boise State University</t>
  </si>
  <si>
    <t>Bold Beauty Academy</t>
  </si>
  <si>
    <t>Bolivar Technical College</t>
  </si>
  <si>
    <t>Bon Secours Memorial College of Nursing</t>
  </si>
  <si>
    <t>Bon Secours St Mary's Hospital School of Medical Imaging</t>
  </si>
  <si>
    <t>Bonnie Joseph Academy of Cosmetology &amp; Barbering</t>
  </si>
  <si>
    <t>Boricua College</t>
  </si>
  <si>
    <t>Borner's Barber College</t>
  </si>
  <si>
    <t>Bos-Man's Barber College</t>
  </si>
  <si>
    <t>Bossier Parish Community College</t>
  </si>
  <si>
    <t>Boston Architectural College</t>
  </si>
  <si>
    <t>Boston Baptist College</t>
  </si>
  <si>
    <t>Boston College</t>
  </si>
  <si>
    <t>Boston Graduate School of Psychoanalysis Inc</t>
  </si>
  <si>
    <t>Boston University</t>
  </si>
  <si>
    <t>Bowdoin College</t>
  </si>
  <si>
    <t>Bowie State University</t>
  </si>
  <si>
    <t>Bowling Green State University-Firelands</t>
  </si>
  <si>
    <t>Bowling Green State University-Main Campus</t>
  </si>
  <si>
    <t>Bradley University</t>
  </si>
  <si>
    <t>Brand College</t>
  </si>
  <si>
    <t>Brandeis University</t>
  </si>
  <si>
    <t>Branford Academy of Hair &amp; Cosmetology-Bridgeport</t>
  </si>
  <si>
    <t>Branford Academy of Hair and Cosmetology</t>
  </si>
  <si>
    <t>Brazosport College</t>
  </si>
  <si>
    <t>Brenau University</t>
  </si>
  <si>
    <t>Brescia University</t>
  </si>
  <si>
    <t>Brevard College</t>
  </si>
  <si>
    <t>Brewster Technical College</t>
  </si>
  <si>
    <t>Brewton-Parker College</t>
  </si>
  <si>
    <t>Briar Cliff University</t>
  </si>
  <si>
    <t>Bridgerland Technical College</t>
  </si>
  <si>
    <t>Bridges Beauty College</t>
  </si>
  <si>
    <t>BridgeValley Community &amp; Technical College</t>
  </si>
  <si>
    <t>Bridgewater College</t>
  </si>
  <si>
    <t>Bridgewater State University</t>
  </si>
  <si>
    <t>Brigham Young University</t>
  </si>
  <si>
    <t>Brigham Young University-Hawaii</t>
  </si>
  <si>
    <t>Brigham Young University-Idaho</t>
  </si>
  <si>
    <t>Brighton Center's Center for Employment Training</t>
  </si>
  <si>
    <t>Brighton Institute of Cosmetology</t>
  </si>
  <si>
    <t>Brightpoint Community College</t>
  </si>
  <si>
    <t>Brillare Beauty Institute</t>
  </si>
  <si>
    <t>Bristol Community College</t>
  </si>
  <si>
    <t>Bristol Technical Education Center</t>
  </si>
  <si>
    <t>Brite Divinity School</t>
  </si>
  <si>
    <t>Brittany Beauty Academy</t>
  </si>
  <si>
    <t>Broadview College</t>
  </si>
  <si>
    <t>Broken Arrow Beauty College</t>
  </si>
  <si>
    <t>Brookdale Community College</t>
  </si>
  <si>
    <t>Brookline College-Albuquerque</t>
  </si>
  <si>
    <t>Brookline College-Phoenix</t>
  </si>
  <si>
    <t>Brookline College-Tempe</t>
  </si>
  <si>
    <t>Brookline College-Tucson</t>
  </si>
  <si>
    <t>Brooklyn Law School</t>
  </si>
  <si>
    <t>Broome Delaware Tioga BOCES-Practical Nursing Program</t>
  </si>
  <si>
    <t>Broward College</t>
  </si>
  <si>
    <t>Brown &amp; Clermont Adult Career Campuses</t>
  </si>
  <si>
    <t>Brown Aveda Institute-Mentor</t>
  </si>
  <si>
    <t>Brown Aveda Institute-Strongsville</t>
  </si>
  <si>
    <t>Brown Beauty Barber School</t>
  </si>
  <si>
    <t>Brown University</t>
  </si>
  <si>
    <t>Brownson Technical School</t>
  </si>
  <si>
    <t>Brunswick Community College</t>
  </si>
  <si>
    <t>Bryan College of Health Sciences</t>
  </si>
  <si>
    <t>Bryan College-Dayton</t>
  </si>
  <si>
    <t>Bryan University</t>
  </si>
  <si>
    <t>Bryant &amp; Stratton College-Albany</t>
  </si>
  <si>
    <t>Bryant &amp; Stratton College-Buffalo</t>
  </si>
  <si>
    <t>Bryant &amp; Stratton College-Greece</t>
  </si>
  <si>
    <t>Bryant &amp; Stratton College-Online</t>
  </si>
  <si>
    <t>Bryant &amp; Stratton College-Parma</t>
  </si>
  <si>
    <t>Bryant &amp; Stratton College-Syracuse North</t>
  </si>
  <si>
    <t>Bryant &amp; Stratton College-Virginia Beach</t>
  </si>
  <si>
    <t>Bryant &amp; Stratton College-Wauwatosa</t>
  </si>
  <si>
    <t>Bryant University</t>
  </si>
  <si>
    <t>Bryn Athyn College of the New Church</t>
  </si>
  <si>
    <t>Bryn Mawr College</t>
  </si>
  <si>
    <t>Buckeye Hills Career Center</t>
  </si>
  <si>
    <t>Buckeye Joint Vocational School</t>
  </si>
  <si>
    <t>Bucknell University</t>
  </si>
  <si>
    <t>Buckner Barber School</t>
  </si>
  <si>
    <t>Bucks County Community College</t>
  </si>
  <si>
    <t>Bucks County School of Beauty Culture Inc</t>
  </si>
  <si>
    <t>Buena Vista University</t>
  </si>
  <si>
    <t>Bull City Durham Beauty and Barber College</t>
  </si>
  <si>
    <t>B-Unique Beauty and Barber Academy</t>
  </si>
  <si>
    <t>Bunker Hill Community College</t>
  </si>
  <si>
    <t>Burlington County Institute of Technology-Adult Education</t>
  </si>
  <si>
    <t>Burrell College of Osteopathic Medicine</t>
  </si>
  <si>
    <t>Bushnell University</t>
  </si>
  <si>
    <t>Butler Beauty Academy</t>
  </si>
  <si>
    <t>Butler Beauty Academy-Kittanning Beauty Academy</t>
  </si>
  <si>
    <t>Butler Beauty Academy-New Castle Beauty Academy</t>
  </si>
  <si>
    <t>Butler Community College</t>
  </si>
  <si>
    <t>Butler County Community College</t>
  </si>
  <si>
    <t>Butler Technology and Career Development Schools</t>
  </si>
  <si>
    <t>Butler University</t>
  </si>
  <si>
    <t>Butte Academy of Beauty Culture</t>
  </si>
  <si>
    <t>Butte College</t>
  </si>
  <si>
    <t>Butte County Regional Occupational Program</t>
  </si>
  <si>
    <t>Byzantine Catholic Seminary of Saints Cyril and Methodius</t>
  </si>
  <si>
    <t>CAAN Academy of Nursing</t>
  </si>
  <si>
    <t>Cabarrus College of Health Sciences</t>
  </si>
  <si>
    <t>Cabell County Career Technology Center</t>
  </si>
  <si>
    <t>Cabrillo College</t>
  </si>
  <si>
    <t>Cabrini University</t>
  </si>
  <si>
    <t>Caddo Kiowa Technology Center</t>
  </si>
  <si>
    <t>Cadillac Institute of Cosmetology</t>
  </si>
  <si>
    <t>Cairn University-Langhorne</t>
  </si>
  <si>
    <t>CALC Institute of Technology</t>
  </si>
  <si>
    <t>Caldwell Community College and Technical Institute</t>
  </si>
  <si>
    <t>Caldwell University</t>
  </si>
  <si>
    <t>California Aeronautical University</t>
  </si>
  <si>
    <t>California Arts University</t>
  </si>
  <si>
    <t>California Baptist University</t>
  </si>
  <si>
    <t>California Barber and Beauty College</t>
  </si>
  <si>
    <t>California Beauty School</t>
  </si>
  <si>
    <t>California Career College</t>
  </si>
  <si>
    <t>California Career Institute</t>
  </si>
  <si>
    <t>California Career School</t>
  </si>
  <si>
    <t>California Christian College</t>
  </si>
  <si>
    <t>California College of Barbering and Cosmetology</t>
  </si>
  <si>
    <t>California College of Music</t>
  </si>
  <si>
    <t>California College of the Arts</t>
  </si>
  <si>
    <t>California College San Diego</t>
  </si>
  <si>
    <t>California College San Diego-CollegeAmerica-Phoenix</t>
  </si>
  <si>
    <t>California Hair Design Academy</t>
  </si>
  <si>
    <t>California Healing Arts College</t>
  </si>
  <si>
    <t>California Health Sciences University</t>
  </si>
  <si>
    <t>California Indian Nations College</t>
  </si>
  <si>
    <t>California Institute of Advanced Management</t>
  </si>
  <si>
    <t>California Institute of Arts &amp; Technology</t>
  </si>
  <si>
    <t>California Institute of Arts &amp; Technology-National City</t>
  </si>
  <si>
    <t>California Institute of Integral Studies</t>
  </si>
  <si>
    <t>California Institute of Medical Science</t>
  </si>
  <si>
    <t>California Institute of Technology</t>
  </si>
  <si>
    <t>California Institute of the Arts</t>
  </si>
  <si>
    <t>California Intercontinental University</t>
  </si>
  <si>
    <t>California Jazz Conservatory</t>
  </si>
  <si>
    <t>California Lutheran University</t>
  </si>
  <si>
    <t>California Miramar University</t>
  </si>
  <si>
    <t>California Northstate University</t>
  </si>
  <si>
    <t>California Nurses Educational Institute</t>
  </si>
  <si>
    <t>California Polytechnic State University-San Luis Obispo</t>
  </si>
  <si>
    <t>California State Polytechnic University-Humboldt</t>
  </si>
  <si>
    <t>California State Polytechnic University-Pomona</t>
  </si>
  <si>
    <t>California State University Maritime Academy</t>
  </si>
  <si>
    <t>California State University-Bakersfield</t>
  </si>
  <si>
    <t>California State University-Chancellors Office</t>
  </si>
  <si>
    <t>California State University-Channel Islands</t>
  </si>
  <si>
    <t>California State University-Chico</t>
  </si>
  <si>
    <t>California State University-Dominguez Hills</t>
  </si>
  <si>
    <t>California State University-East Bay</t>
  </si>
  <si>
    <t>California State University-Fresno</t>
  </si>
  <si>
    <t>California State University-Fullerton</t>
  </si>
  <si>
    <t>California State University-Long Beach</t>
  </si>
  <si>
    <t>California State University-Los Angeles</t>
  </si>
  <si>
    <t>California State University-Monterey Bay</t>
  </si>
  <si>
    <t>California State University-Northridge</t>
  </si>
  <si>
    <t>California State University-Sacramento</t>
  </si>
  <si>
    <t>California State University-San Bernardino</t>
  </si>
  <si>
    <t>California State University-San Marcos</t>
  </si>
  <si>
    <t>California State University-Stanislaus</t>
  </si>
  <si>
    <t>California Technical Academy</t>
  </si>
  <si>
    <t>California University of Pennsylvania</t>
  </si>
  <si>
    <t>California University of Science and Medicine</t>
  </si>
  <si>
    <t>California Western School of Law</t>
  </si>
  <si>
    <t>Calumet College of Saint Joseph</t>
  </si>
  <si>
    <t>Calvary University</t>
  </si>
  <si>
    <t>Calvin Theological Seminary</t>
  </si>
  <si>
    <t>Calvin University</t>
  </si>
  <si>
    <t>Cambridge College</t>
  </si>
  <si>
    <t>Cambridge College of Healthcare &amp; Technology</t>
  </si>
  <si>
    <t>Cambridge Institute of Allied Health &amp; Technology</t>
  </si>
  <si>
    <t>Cambridge Technical Institute</t>
  </si>
  <si>
    <t>Camden County College</t>
  </si>
  <si>
    <t>Cameo Beauty Academy</t>
  </si>
  <si>
    <t>Cameo College of Essential Beauty</t>
  </si>
  <si>
    <t>Cameron University</t>
  </si>
  <si>
    <t>Campbell University</t>
  </si>
  <si>
    <t>Campbellsville University</t>
  </si>
  <si>
    <t>Canada College</t>
  </si>
  <si>
    <t>Canadian Valley Technology Center</t>
  </si>
  <si>
    <t>Canisius College</t>
  </si>
  <si>
    <t>Cankdeska Cikana Community College</t>
  </si>
  <si>
    <t>Cannella School of Hair Design-Blue Island</t>
  </si>
  <si>
    <t>Cannella School of Hair Design-Chicago</t>
  </si>
  <si>
    <t>Cannella School of Hair Design-Villa Park</t>
  </si>
  <si>
    <t>Canton City Schools Adult Career and Technical Education</t>
  </si>
  <si>
    <t>Cape Cod Community College</t>
  </si>
  <si>
    <t>Cape Coral Technical College</t>
  </si>
  <si>
    <t>Cape Fear Community College</t>
  </si>
  <si>
    <t>Cape Girardeau Career and Technology Center</t>
  </si>
  <si>
    <t>Capella University</t>
  </si>
  <si>
    <t>Capilo School of Hair Design</t>
  </si>
  <si>
    <t>Capital Area School of Practical Nursing</t>
  </si>
  <si>
    <t>Capital Community College</t>
  </si>
  <si>
    <t>Capital University</t>
  </si>
  <si>
    <t>Capitol School of Hairstyling and Esthetics</t>
  </si>
  <si>
    <t>Capitol Technology University</t>
  </si>
  <si>
    <t>Capri Beauty College</t>
  </si>
  <si>
    <t>Capri College-Cedar Rapids</t>
  </si>
  <si>
    <t>Capri College-Davenport</t>
  </si>
  <si>
    <t>Capri College-Dubuque</t>
  </si>
  <si>
    <t>Capri Cosmetology Learning Centers</t>
  </si>
  <si>
    <t>Capri Institute of Hair Design-Brick</t>
  </si>
  <si>
    <t>Capri Institute of Hair Design-Clifton</t>
  </si>
  <si>
    <t>Capri Institute of Hair Design-Kenilworth</t>
  </si>
  <si>
    <t>Capri Institute of Hair Design-Paramus</t>
  </si>
  <si>
    <t>Capstone College</t>
  </si>
  <si>
    <t>Cardiac and Vascular Institute of Ultrasound</t>
  </si>
  <si>
    <t>Cardinal Stritch University</t>
  </si>
  <si>
    <t>Career Academy of Beauty</t>
  </si>
  <si>
    <t>Career Academy of Hair Design</t>
  </si>
  <si>
    <t>Career and Technology Education Centers of Licking County</t>
  </si>
  <si>
    <t>Career Beauty College</t>
  </si>
  <si>
    <t>Career Care Institute</t>
  </si>
  <si>
    <t>Career Center of Southern Illinois</t>
  </si>
  <si>
    <t>Career College of Northern Nevada</t>
  </si>
  <si>
    <t>Career Development Institute Inc</t>
  </si>
  <si>
    <t>Career Networks Institute</t>
  </si>
  <si>
    <t>Career Quest Learning Center-Mt. Pleasant</t>
  </si>
  <si>
    <t>Career Quest Learning Centers-Jackson</t>
  </si>
  <si>
    <t>Career Quest Learning Centers-Lansing</t>
  </si>
  <si>
    <t>Career School of NY</t>
  </si>
  <si>
    <t>Career Technical Institute</t>
  </si>
  <si>
    <t>Career Technology Center of Lackawanna County</t>
  </si>
  <si>
    <t>Careers Institute of America</t>
  </si>
  <si>
    <t>Careers Unlimited</t>
  </si>
  <si>
    <t>Caribbean Aviation Training Institute Inc</t>
  </si>
  <si>
    <t>Caribbean Forensic and Technical College</t>
  </si>
  <si>
    <t>Caribbean University-Bayamon</t>
  </si>
  <si>
    <t>Caribbean University-Carolina</t>
  </si>
  <si>
    <t>Caribbean University-Ponce</t>
  </si>
  <si>
    <t>Caribbean University-Vega Baja</t>
  </si>
  <si>
    <t>Caris College</t>
  </si>
  <si>
    <t>Carl Albert State College</t>
  </si>
  <si>
    <t>Carl Sandburg College</t>
  </si>
  <si>
    <t>Carleton College</t>
  </si>
  <si>
    <t>Carlow University</t>
  </si>
  <si>
    <t>Carlson College of Massage Therapy</t>
  </si>
  <si>
    <t>Carnegie Institute</t>
  </si>
  <si>
    <t>Carnegie Mellon University</t>
  </si>
  <si>
    <t>Carolina Christian College</t>
  </si>
  <si>
    <t>Carolina College of Biblical Studies</t>
  </si>
  <si>
    <t>Carolina College of Hair Design</t>
  </si>
  <si>
    <t>Carolina School of Broadcasting</t>
  </si>
  <si>
    <t>Carolina University</t>
  </si>
  <si>
    <t>Carolinas College of Health Sciences</t>
  </si>
  <si>
    <t>Carrington College-Administrative Office</t>
  </si>
  <si>
    <t>Carrington College-Albuquerque</t>
  </si>
  <si>
    <t>Carrington College-Boise</t>
  </si>
  <si>
    <t>Carrington College-Citrus Heights</t>
  </si>
  <si>
    <t>Carrington College-Las Vegas</t>
  </si>
  <si>
    <t>Carrington College-Mesa</t>
  </si>
  <si>
    <t>Carrington College-Mesquite</t>
  </si>
  <si>
    <t>Carrington College-Ontario</t>
  </si>
  <si>
    <t>Carrington College-Phoenix North</t>
  </si>
  <si>
    <t>Carrington College-Pleasant Hill Campus</t>
  </si>
  <si>
    <t>Carrington College-Portland</t>
  </si>
  <si>
    <t>Carrington College-Reno</t>
  </si>
  <si>
    <t>Carrington College-Sacramento</t>
  </si>
  <si>
    <t>Carrington College-San Jose</t>
  </si>
  <si>
    <t>Carrington College-San Leandro Campus</t>
  </si>
  <si>
    <t>Carrington College-Spokane</t>
  </si>
  <si>
    <t>Carrington College-Stockton</t>
  </si>
  <si>
    <t>Carrington College-Tucson</t>
  </si>
  <si>
    <t>Carroll College</t>
  </si>
  <si>
    <t>Carroll Community College</t>
  </si>
  <si>
    <t>Carroll University</t>
  </si>
  <si>
    <t>Carson-Newman University</t>
  </si>
  <si>
    <t>Carsten Institute of Cosmetology</t>
  </si>
  <si>
    <t>Carteret Community College</t>
  </si>
  <si>
    <t>Carthage College</t>
  </si>
  <si>
    <t>Carthage R9 School District-Carthage Technical Center</t>
  </si>
  <si>
    <t>Carver Career Center</t>
  </si>
  <si>
    <t>Casa Loma College-Van Nuys</t>
  </si>
  <si>
    <t>Casal Aveda Institute</t>
  </si>
  <si>
    <t>Casal Institute of Nevada</t>
  </si>
  <si>
    <t>Cascadia College</t>
  </si>
  <si>
    <t>Case Western Reserve University</t>
  </si>
  <si>
    <t>Casper College</t>
  </si>
  <si>
    <t>Cass Career Center</t>
  </si>
  <si>
    <t>Castleton University</t>
  </si>
  <si>
    <t>Catawba College</t>
  </si>
  <si>
    <t>Catawba Valley Community College</t>
  </si>
  <si>
    <t>Catherine Hinds Institute of Esthetics</t>
  </si>
  <si>
    <t>Catholic Distance University</t>
  </si>
  <si>
    <t>Catholic Theological Union at Chicago</t>
  </si>
  <si>
    <t>Cattaraugus Allegany BOCES-Practical Nursing Program</t>
  </si>
  <si>
    <t>Cayce/Reilly School of Massage</t>
  </si>
  <si>
    <t>Cayuga County Community College</t>
  </si>
  <si>
    <t>Cayuga Onondaga BOCES-Practical Nursing Program</t>
  </si>
  <si>
    <t>Cazenovia College</t>
  </si>
  <si>
    <t>CBD College</t>
  </si>
  <si>
    <t>CBT Technology Institute-Cutler Bay</t>
  </si>
  <si>
    <t>CBT Technology Institute-Hialeah</t>
  </si>
  <si>
    <t>CBT Technology Institute-Main Campus</t>
  </si>
  <si>
    <t>CCI Training Center-Arlington</t>
  </si>
  <si>
    <t>CDA Technical Institute</t>
  </si>
  <si>
    <t>CDE Career Institute</t>
  </si>
  <si>
    <t>Cecil College</t>
  </si>
  <si>
    <t>Cedar Crest College</t>
  </si>
  <si>
    <t>Cedars Sinai Medical Center</t>
  </si>
  <si>
    <t>Cedarville University</t>
  </si>
  <si>
    <t>Celebrity Barber School</t>
  </si>
  <si>
    <t>Celebrity School of Beauty</t>
  </si>
  <si>
    <t>Celebrity Stylist Beauty School</t>
  </si>
  <si>
    <t>CEM College-Bayamon</t>
  </si>
  <si>
    <t>CEM College-Humacao</t>
  </si>
  <si>
    <t>CEM College-Mayaguez</t>
  </si>
  <si>
    <t>CEM College-San Juan</t>
  </si>
  <si>
    <t>Centenary College of Louisiana</t>
  </si>
  <si>
    <t>Centenary University</t>
  </si>
  <si>
    <t>Center for Advanced Legal Studies</t>
  </si>
  <si>
    <t>Center for Advanced Studies On Puerto Rico and the Caribbean</t>
  </si>
  <si>
    <t>Center for Allied Health Education</t>
  </si>
  <si>
    <t>Center for Instruction, Technology &amp; Innovation</t>
  </si>
  <si>
    <t>Center for Massage</t>
  </si>
  <si>
    <t>Center for Neurosomatic Studies</t>
  </si>
  <si>
    <t>Center for the Healing Arts</t>
  </si>
  <si>
    <t>Center for Ultrasound Research &amp; Education</t>
  </si>
  <si>
    <t>CenterPoint Massage &amp; Shiatsu Therapy School &amp; Clinic</t>
  </si>
  <si>
    <t>Centra College</t>
  </si>
  <si>
    <t>Central Alabama Community College</t>
  </si>
  <si>
    <t>Central Arizona College</t>
  </si>
  <si>
    <t>Central Baptist College</t>
  </si>
  <si>
    <t>Central California School of Continuing Education</t>
  </si>
  <si>
    <t>Central Career Institute LLC</t>
  </si>
  <si>
    <t>Central Carolina Community College</t>
  </si>
  <si>
    <t>Central Carolina Technical College</t>
  </si>
  <si>
    <t>Central Christian College of Kansas</t>
  </si>
  <si>
    <t>Central Christian College of the Bible</t>
  </si>
  <si>
    <t>Central Coast College</t>
  </si>
  <si>
    <t>Central College</t>
  </si>
  <si>
    <t>Central College of Cosmetology</t>
  </si>
  <si>
    <t>Central Community College</t>
  </si>
  <si>
    <t>Central Connecticut State University</t>
  </si>
  <si>
    <t>Central Georgia Technical College</t>
  </si>
  <si>
    <t>Central Lakes College-Brainerd</t>
  </si>
  <si>
    <t>Central Louisiana Technical Community College</t>
  </si>
  <si>
    <t>Central Maine Community College</t>
  </si>
  <si>
    <t>Central Methodist University-College of Graduate and Extended Studies</t>
  </si>
  <si>
    <t>Central Methodist University-College of Liberal Arts and Sciences</t>
  </si>
  <si>
    <t>Central Michigan University</t>
  </si>
  <si>
    <t>Central New Mexico Community College</t>
  </si>
  <si>
    <t>Central Ohio Technical College</t>
  </si>
  <si>
    <t>Central Oklahoma College</t>
  </si>
  <si>
    <t>Central Oregon Community College</t>
  </si>
  <si>
    <t>Central Penn College</t>
  </si>
  <si>
    <t>Central Pennsylvania Diesel Institute</t>
  </si>
  <si>
    <t>Central Pennsylvania Institute of Science and Technology</t>
  </si>
  <si>
    <t>Central Piedmont Community College</t>
  </si>
  <si>
    <t>Central School of Practical Nursing</t>
  </si>
  <si>
    <t>Central State University</t>
  </si>
  <si>
    <t>Central Susquehanna Intermediate Unit LPN Career</t>
  </si>
  <si>
    <t>Central Technology Center</t>
  </si>
  <si>
    <t>Central Texas Beauty College-Round Rock</t>
  </si>
  <si>
    <t>Central Texas Beauty College-Temple</t>
  </si>
  <si>
    <t>Central Texas College</t>
  </si>
  <si>
    <t>Central Virginia Community College</t>
  </si>
  <si>
    <t>Central Washington University</t>
  </si>
  <si>
    <t>Central Wyoming College</t>
  </si>
  <si>
    <t>Central Yeshiva Beth Joseph</t>
  </si>
  <si>
    <t>Central Yeshiva Tomchei Tmimim Lubavitz</t>
  </si>
  <si>
    <t>Centralia Beauty College</t>
  </si>
  <si>
    <t>Centralia College</t>
  </si>
  <si>
    <t>Centre College</t>
  </si>
  <si>
    <t>Centura College-Chesapeake</t>
  </si>
  <si>
    <t>Centura College-Newport News</t>
  </si>
  <si>
    <t>Centura College-Norfolk</t>
  </si>
  <si>
    <t>Centura College-Richmond Main</t>
  </si>
  <si>
    <t>Centura College-Virginia Beach</t>
  </si>
  <si>
    <t>Century College</t>
  </si>
  <si>
    <t>Cerritos College</t>
  </si>
  <si>
    <t>Cerro Coso Community College</t>
  </si>
  <si>
    <t>CES College</t>
  </si>
  <si>
    <t>CET-Alexandria</t>
  </si>
  <si>
    <t>CET-Coachella</t>
  </si>
  <si>
    <t>CET-Colton</t>
  </si>
  <si>
    <t>CET-El Centro</t>
  </si>
  <si>
    <t>CET-El Paso</t>
  </si>
  <si>
    <t>CET-Oxnard</t>
  </si>
  <si>
    <t>CET-Salinas</t>
  </si>
  <si>
    <t>CET-San Diego</t>
  </si>
  <si>
    <t>CET-San Jose</t>
  </si>
  <si>
    <t>CET-Santa Maria</t>
  </si>
  <si>
    <t>CET-Soledad</t>
  </si>
  <si>
    <t>CET-Watsonville</t>
  </si>
  <si>
    <t>Chabot College</t>
  </si>
  <si>
    <t>Chadron State College</t>
  </si>
  <si>
    <t>Chaffey College</t>
  </si>
  <si>
    <t>Chamberlain University-Administrative Office</t>
  </si>
  <si>
    <t>Chamberlain University-Arizona</t>
  </si>
  <si>
    <t>Chamberlain University-California</t>
  </si>
  <si>
    <t>Chamberlain University-Florida</t>
  </si>
  <si>
    <t>Chamberlain University-Georgia</t>
  </si>
  <si>
    <t>Chamberlain University-Illinois</t>
  </si>
  <si>
    <t>Chamberlain University-Indiana</t>
  </si>
  <si>
    <t>Chamberlain University-Louisiana</t>
  </si>
  <si>
    <t>Chamberlain University-Michigan</t>
  </si>
  <si>
    <t>Chamberlain University-Missouri</t>
  </si>
  <si>
    <t>Chamberlain University-Nevada</t>
  </si>
  <si>
    <t>Chamberlain University-New Jersey</t>
  </si>
  <si>
    <t>Chamberlain University-North Carolina</t>
  </si>
  <si>
    <t>Chamberlain University-Ohio</t>
  </si>
  <si>
    <t>Chamberlain University-Texas</t>
  </si>
  <si>
    <t>Chamberlain University-Virginia</t>
  </si>
  <si>
    <t>Chaminade University of Honolulu</t>
  </si>
  <si>
    <t>Champion Beauty College</t>
  </si>
  <si>
    <t>Champion Christian College</t>
  </si>
  <si>
    <t>Champlain College</t>
  </si>
  <si>
    <t>Champ's Barber School</t>
  </si>
  <si>
    <t>Chandler-Gilbert Community College</t>
  </si>
  <si>
    <t>Chapman University</t>
  </si>
  <si>
    <t>Charles A Jones Career and Education Center</t>
  </si>
  <si>
    <t>Charles and Sues School of Hair Design</t>
  </si>
  <si>
    <t>Charles H McCann Technical School</t>
  </si>
  <si>
    <t>Charles of Italy Beauty College</t>
  </si>
  <si>
    <t>Charles R Drew University of Medicine and Science</t>
  </si>
  <si>
    <t>Charles Stuart School of Diamond Setting</t>
  </si>
  <si>
    <t>Charleston Cosmetology Institute</t>
  </si>
  <si>
    <t>Charleston School of Beauty Culture</t>
  </si>
  <si>
    <t>Charleston School of Law</t>
  </si>
  <si>
    <t>Charleston Southern University</t>
  </si>
  <si>
    <t>Charlie's Guard-Detective Bureau and Academy Inc</t>
  </si>
  <si>
    <t>Charlotte Christian College and Theological Seminary</t>
  </si>
  <si>
    <t>Charlotte Technical College</t>
  </si>
  <si>
    <t>Charter College</t>
  </si>
  <si>
    <t>Charter Oak State College</t>
  </si>
  <si>
    <t>Charzanne Beauty College</t>
  </si>
  <si>
    <t>Chatfield College</t>
  </si>
  <si>
    <t>Chatham University</t>
  </si>
  <si>
    <t>Chattahoochee Technical College</t>
  </si>
  <si>
    <t>Chattahoochee Valley Community College</t>
  </si>
  <si>
    <t>Chattanooga College Medical Dental and Technical Careers</t>
  </si>
  <si>
    <t>Chattanooga State Community College</t>
  </si>
  <si>
    <t>Cheeks Beauty Academy</t>
  </si>
  <si>
    <t>Chemeketa Community College</t>
  </si>
  <si>
    <t>Chesapeake College</t>
  </si>
  <si>
    <t>Chester Career College</t>
  </si>
  <si>
    <t>Chester County Intermediate Unit</t>
  </si>
  <si>
    <t>Chestnut Hill College</t>
  </si>
  <si>
    <t>Cheyney University of Pennsylvania</t>
  </si>
  <si>
    <t>CHI Health School of Radiologic Technology</t>
  </si>
  <si>
    <t>Chicago Professional Center</t>
  </si>
  <si>
    <t>Chicago School of Professional Psychology at Dallas</t>
  </si>
  <si>
    <t>Chicago School of Professional Psychology-College of Nursing</t>
  </si>
  <si>
    <t>Chicago State University</t>
  </si>
  <si>
    <t>Chicago Theological Seminary</t>
  </si>
  <si>
    <t>Chief Dull Knife College</t>
  </si>
  <si>
    <t>Chipola College</t>
  </si>
  <si>
    <t>Chippewa Valley Technical College</t>
  </si>
  <si>
    <t>Chisholm Trail Technology Center</t>
  </si>
  <si>
    <t>Choffin Career  and Technical Center</t>
  </si>
  <si>
    <t>Chowan University</t>
  </si>
  <si>
    <t>Chris Beauty College</t>
  </si>
  <si>
    <t>Christ Mission College</t>
  </si>
  <si>
    <t>Christ the King Seminary</t>
  </si>
  <si>
    <t>Christian Brothers University</t>
  </si>
  <si>
    <t>Christian Culinary Academy</t>
  </si>
  <si>
    <t>Christian Theological Seminary</t>
  </si>
  <si>
    <t>Christina and Company Education Center</t>
  </si>
  <si>
    <t>Christine Valmy International School for Esthetics, Skin Care &amp; Makeup</t>
  </si>
  <si>
    <t>Christine Valmy International School of Esthetics &amp; Cosmetology</t>
  </si>
  <si>
    <t>Christopher Newport University</t>
  </si>
  <si>
    <t>Church Divinity School of the Pacific</t>
  </si>
  <si>
    <t>Cincinnati College of Mortuary Science</t>
  </si>
  <si>
    <t>Cincinnati School of Barbering &amp; Hair Design</t>
  </si>
  <si>
    <t>Cincinnati State Technical and Community College</t>
  </si>
  <si>
    <t>Cinta Aveda Institute</t>
  </si>
  <si>
    <t>Circle in the Square Theatre School</t>
  </si>
  <si>
    <t>Cisco College</t>
  </si>
  <si>
    <t>Citadel Military College of South Carolina</t>
  </si>
  <si>
    <t>Citizens School of Nursing</t>
  </si>
  <si>
    <t>Citrus College</t>
  </si>
  <si>
    <t>Citrus Heights Beauty College</t>
  </si>
  <si>
    <t>City College of San Francisco</t>
  </si>
  <si>
    <t>City College-Altamonte Springs</t>
  </si>
  <si>
    <t>City College-Fort Lauderdale</t>
  </si>
  <si>
    <t>City College-Gainesville</t>
  </si>
  <si>
    <t>City College-Hollywood</t>
  </si>
  <si>
    <t>City College-Miami</t>
  </si>
  <si>
    <t>City Colleges of Chicago-District Office</t>
  </si>
  <si>
    <t>City Colleges of Chicago-Harold Washington College</t>
  </si>
  <si>
    <t>City Colleges of Chicago-Harry S Truman College</t>
  </si>
  <si>
    <t>City Colleges of Chicago-Kennedy-King College</t>
  </si>
  <si>
    <t>City Colleges of Chicago-Malcolm X College</t>
  </si>
  <si>
    <t>City Colleges of Chicago-Olive-Harvey College</t>
  </si>
  <si>
    <t>City Colleges of Chicago-Richard J Daley College</t>
  </si>
  <si>
    <t>City Colleges of Chicago-Wilbur Wright College</t>
  </si>
  <si>
    <t>City Pointe Beauty Academy</t>
  </si>
  <si>
    <t>City University of Seattle</t>
  </si>
  <si>
    <t>City Vision University</t>
  </si>
  <si>
    <t>Clackamas Community College</t>
  </si>
  <si>
    <t>Claflin University</t>
  </si>
  <si>
    <t>Claremont Graduate University</t>
  </si>
  <si>
    <t>Claremont Lincoln University</t>
  </si>
  <si>
    <t>Claremont McKenna College</t>
  </si>
  <si>
    <t>Claremont School of Theology</t>
  </si>
  <si>
    <t>Clarendon College</t>
  </si>
  <si>
    <t>Clarion University of Pennsylvania</t>
  </si>
  <si>
    <t>Clark Atlanta University</t>
  </si>
  <si>
    <t>Clark College</t>
  </si>
  <si>
    <t>Clark State College</t>
  </si>
  <si>
    <t>Clark University</t>
  </si>
  <si>
    <t>Clarke University</t>
  </si>
  <si>
    <t>Clarks Summit University</t>
  </si>
  <si>
    <t>Clarksburg Beauty Academy and School of Massage Therapy</t>
  </si>
  <si>
    <t>Clarkson College</t>
  </si>
  <si>
    <t>Clarkson University</t>
  </si>
  <si>
    <t>Clary Sage College</t>
  </si>
  <si>
    <t>Clatsop Community College</t>
  </si>
  <si>
    <t>Clayton  State University</t>
  </si>
  <si>
    <t>Clear Creek Baptist Bible College</t>
  </si>
  <si>
    <t>Clearfield County Career and Technology Center</t>
  </si>
  <si>
    <t>Cleary University</t>
  </si>
  <si>
    <t>Clemson University</t>
  </si>
  <si>
    <t>Cleveland Clinic Health System-School of Diagnostic Imaging</t>
  </si>
  <si>
    <t>Cleveland Community College</t>
  </si>
  <si>
    <t>Cleveland Institute of Art</t>
  </si>
  <si>
    <t>Cleveland Institute of Music</t>
  </si>
  <si>
    <t>Cleveland State Community College</t>
  </si>
  <si>
    <t>Cleveland State University</t>
  </si>
  <si>
    <t>Cleveland University-Kansas City</t>
  </si>
  <si>
    <t>Clinton College</t>
  </si>
  <si>
    <t>Clinton Community College</t>
  </si>
  <si>
    <t>Clinton Essex Warren Washington BOCES</t>
  </si>
  <si>
    <t>Clinton Technical School</t>
  </si>
  <si>
    <t>Cloud County Community College</t>
  </si>
  <si>
    <t>Clover Park Technical College</t>
  </si>
  <si>
    <t>Clovis Adult Education</t>
  </si>
  <si>
    <t>Clovis Community College</t>
  </si>
  <si>
    <t>Cloyd's Barber School 2 Inc</t>
  </si>
  <si>
    <t>Cloyd's Beauty School 1 Inc</t>
  </si>
  <si>
    <t>Cloyd's Beauty School 3 Inc</t>
  </si>
  <si>
    <t>Coachella Valley Beauty College</t>
  </si>
  <si>
    <t>Coachella Valley Beauty College-Hemet</t>
  </si>
  <si>
    <t>Coahoma Community College</t>
  </si>
  <si>
    <t>Coast Community College District Office</t>
  </si>
  <si>
    <t>Coastal Alabama Community College</t>
  </si>
  <si>
    <t>Coastal Bend College</t>
  </si>
  <si>
    <t>Coastal Carolina Community College</t>
  </si>
  <si>
    <t>Coastal Carolina University</t>
  </si>
  <si>
    <t>Coastal Pines Technical College</t>
  </si>
  <si>
    <t>Coastline Beauty College</t>
  </si>
  <si>
    <t>Coastline Community College</t>
  </si>
  <si>
    <t>Coba Academy</t>
  </si>
  <si>
    <t>Cochise County Community College District</t>
  </si>
  <si>
    <t>Cochran School of Nursing</t>
  </si>
  <si>
    <t>Coconino Community College</t>
  </si>
  <si>
    <t>Coe College</t>
  </si>
  <si>
    <t>Coffeyville Community College</t>
  </si>
  <si>
    <t>Coker University</t>
  </si>
  <si>
    <t>Colby College</t>
  </si>
  <si>
    <t>Colby Community College</t>
  </si>
  <si>
    <t>Colby-Sawyer College</t>
  </si>
  <si>
    <t>Colegio de CinematografÃ­a Artes y Television</t>
  </si>
  <si>
    <t>Colegio Educativo Tecnologico Industrial Inc</t>
  </si>
  <si>
    <t>Colegio Mayor de Tecnologia Inc</t>
  </si>
  <si>
    <t>Colegio Tecnico de Electricidad Galloza</t>
  </si>
  <si>
    <t>Colegio Universitario de San Juan</t>
  </si>
  <si>
    <t>Colgate Rochester Crozer Divinity School</t>
  </si>
  <si>
    <t>Colgate University</t>
  </si>
  <si>
    <t>Collectiv Academy</t>
  </si>
  <si>
    <t>College for Creative Studies</t>
  </si>
  <si>
    <t>College of Alameda</t>
  </si>
  <si>
    <t>College of Biblical Studies-Houston</t>
  </si>
  <si>
    <t>College of Central Florida</t>
  </si>
  <si>
    <t>College of Charleston</t>
  </si>
  <si>
    <t>College of Coastal Georgia</t>
  </si>
  <si>
    <t>College of Cosmetology</t>
  </si>
  <si>
    <t>College of Court Reporting Inc</t>
  </si>
  <si>
    <t>College of DuPage</t>
  </si>
  <si>
    <t>College of Eastern Idaho</t>
  </si>
  <si>
    <t>College of Hair Design Careers</t>
  </si>
  <si>
    <t>College of Hair Design-Downtown</t>
  </si>
  <si>
    <t>College of Hair Design-East Campus</t>
  </si>
  <si>
    <t>College of Health Care Professions</t>
  </si>
  <si>
    <t>College of Lake County</t>
  </si>
  <si>
    <t>College of Marin</t>
  </si>
  <si>
    <t>College of Massage Therapy</t>
  </si>
  <si>
    <t>College of Menominee Nation</t>
  </si>
  <si>
    <t>College of Micronesia-FSM</t>
  </si>
  <si>
    <t>College of Mount Saint Vincent</t>
  </si>
  <si>
    <t>College of Our Lady of the Elms</t>
  </si>
  <si>
    <t>College of Saint Benedict</t>
  </si>
  <si>
    <t>College of Saint Mary</t>
  </si>
  <si>
    <t>College of San Mateo</t>
  </si>
  <si>
    <t>College of Southern Idaho</t>
  </si>
  <si>
    <t>College of Southern Maryland</t>
  </si>
  <si>
    <t>College of Southern Nevada</t>
  </si>
  <si>
    <t>College of Staten Island CUNY</t>
  </si>
  <si>
    <t>College of the Albemarle</t>
  </si>
  <si>
    <t>College of the Atlantic</t>
  </si>
  <si>
    <t>College of the Canyons</t>
  </si>
  <si>
    <t>College of the Desert</t>
  </si>
  <si>
    <t>College of the Holy Cross</t>
  </si>
  <si>
    <t>College of the Mainland</t>
  </si>
  <si>
    <t>College of the Marshall Islands</t>
  </si>
  <si>
    <t>College of the Muscogee Nation</t>
  </si>
  <si>
    <t>College of the Ozarks</t>
  </si>
  <si>
    <t>College of the Redwoods</t>
  </si>
  <si>
    <t>College of the Sequoias</t>
  </si>
  <si>
    <t>College of the Siskiyous</t>
  </si>
  <si>
    <t>College of Western Idaho</t>
  </si>
  <si>
    <t>College of Wilmington</t>
  </si>
  <si>
    <t>College Unbound</t>
  </si>
  <si>
    <t>Collin County Community College District</t>
  </si>
  <si>
    <t>Colorado Academy of Veterinary Technology</t>
  </si>
  <si>
    <t>Colorado Christian University</t>
  </si>
  <si>
    <t>Colorado College</t>
  </si>
  <si>
    <t>Colorado Media School</t>
  </si>
  <si>
    <t>Colorado Mesa University</t>
  </si>
  <si>
    <t>Colorado Mountain College</t>
  </si>
  <si>
    <t>Colorado Northwestern Community College</t>
  </si>
  <si>
    <t>Colorado School of Healing Arts</t>
  </si>
  <si>
    <t>Colorado School of Mines</t>
  </si>
  <si>
    <t>Colorado School of Trades</t>
  </si>
  <si>
    <t>Colorado School of Traditional Chinese Medicine</t>
  </si>
  <si>
    <t>Colorado State University Pueblo</t>
  </si>
  <si>
    <t>Colorado State University-Fort Collins</t>
  </si>
  <si>
    <t>Colorado State University-Global Campus</t>
  </si>
  <si>
    <t>Colorado State University-System Office</t>
  </si>
  <si>
    <t>Colorado Technical University-Colorado Springs</t>
  </si>
  <si>
    <t>Columbia Basin College</t>
  </si>
  <si>
    <t>Columbia Central University-Caguas</t>
  </si>
  <si>
    <t>Columbia Central University-Yauco</t>
  </si>
  <si>
    <t>Columbia College</t>
  </si>
  <si>
    <t>Columbia College Chicago</t>
  </si>
  <si>
    <t>Columbia College Hollywood</t>
  </si>
  <si>
    <t>Columbia College of Nursing</t>
  </si>
  <si>
    <t>Columbia Gorge Community College</t>
  </si>
  <si>
    <t>Columbia Institute</t>
  </si>
  <si>
    <t>Columbia International University</t>
  </si>
  <si>
    <t>Columbia Southern University</t>
  </si>
  <si>
    <t>Columbia State Community College</t>
  </si>
  <si>
    <t>Columbia Theological Seminary</t>
  </si>
  <si>
    <t>Columbia University in the City of New York</t>
  </si>
  <si>
    <t>Columbia-Greene Community College</t>
  </si>
  <si>
    <t>Columbiana County Career and Technical Center</t>
  </si>
  <si>
    <t>Columbus College of Art and Design</t>
  </si>
  <si>
    <t>Columbus State Community College</t>
  </si>
  <si>
    <t>Columbus State University</t>
  </si>
  <si>
    <t>Columbus Technical College</t>
  </si>
  <si>
    <t>Commercial Divers International</t>
  </si>
  <si>
    <t>Commonwealth Institute of Funeral Service</t>
  </si>
  <si>
    <t>Commonwealth Technical Institute</t>
  </si>
  <si>
    <t>Community Care College</t>
  </si>
  <si>
    <t>Community Christian College</t>
  </si>
  <si>
    <t>Community College of Allegheny County</t>
  </si>
  <si>
    <t>Community College of Aurora</t>
  </si>
  <si>
    <t>Community College of Baltimore County</t>
  </si>
  <si>
    <t>Community College of Beaver County</t>
  </si>
  <si>
    <t>Community College of Denver</t>
  </si>
  <si>
    <t>Community College of Philadelphia</t>
  </si>
  <si>
    <t>Community College of Rhode Island</t>
  </si>
  <si>
    <t>Community College of Vermont</t>
  </si>
  <si>
    <t>Community Technology Learning Center of Portage</t>
  </si>
  <si>
    <t>Compass Career College</t>
  </si>
  <si>
    <t>Compass College of Film and Media</t>
  </si>
  <si>
    <t>Compton College</t>
  </si>
  <si>
    <t>Compu-Med Vocational Careers Corp</t>
  </si>
  <si>
    <t>Conception Seminary College</t>
  </si>
  <si>
    <t>Concord University</t>
  </si>
  <si>
    <t>Concorde Career College-Aurora</t>
  </si>
  <si>
    <t>Concorde Career College-Dallas</t>
  </si>
  <si>
    <t>Concorde Career College-Garden Grove</t>
  </si>
  <si>
    <t>Concorde Career College-Grand Prairie</t>
  </si>
  <si>
    <t>Concorde Career College-Kansas City</t>
  </si>
  <si>
    <t>Concorde Career College-Memphis</t>
  </si>
  <si>
    <t>Concorde Career College-North Hollywood</t>
  </si>
  <si>
    <t>Concorde Career College-Portland</t>
  </si>
  <si>
    <t>Concorde Career College-San Antonio</t>
  </si>
  <si>
    <t>Concorde Career College-San Bernardino</t>
  </si>
  <si>
    <t>Concorde Career College-San Diego</t>
  </si>
  <si>
    <t>Concorde Career College-Southaven</t>
  </si>
  <si>
    <t>Concorde Career Institute-Jacksonville</t>
  </si>
  <si>
    <t>Concorde Career Institute-Miramar</t>
  </si>
  <si>
    <t>Concorde Career Institute-Orlando</t>
  </si>
  <si>
    <t>Concorde Career Institute-Tampa</t>
  </si>
  <si>
    <t>Concordia College</t>
  </si>
  <si>
    <t>Concordia College at Moorhead</t>
  </si>
  <si>
    <t>Concordia Seminary</t>
  </si>
  <si>
    <t>Concordia Theological Seminary</t>
  </si>
  <si>
    <t>Concordia University Ann Arbor</t>
  </si>
  <si>
    <t>Concordia University Texas</t>
  </si>
  <si>
    <t>Concordia University-Chicago</t>
  </si>
  <si>
    <t>Concordia University-Irvine</t>
  </si>
  <si>
    <t>Concordia University-Nebraska</t>
  </si>
  <si>
    <t>Concordia University-Saint Paul</t>
  </si>
  <si>
    <t>Concordia University-Wisconsin</t>
  </si>
  <si>
    <t>Congregation Talmidei Mesivta Tiferes Shmiel Aleksander</t>
  </si>
  <si>
    <t>Connecticut College</t>
  </si>
  <si>
    <t>Connors State College</t>
  </si>
  <si>
    <t>Conservatory of Music of Puerto Rico</t>
  </si>
  <si>
    <t>Conservatory of Recording Arts and Sciences</t>
  </si>
  <si>
    <t>Construction Training Center</t>
  </si>
  <si>
    <t>Continental Academie of Hair Design-Hudson</t>
  </si>
  <si>
    <t>Continental School of Beauty Culture-Mattydale</t>
  </si>
  <si>
    <t>Continental School of Beauty Culture-Olean</t>
  </si>
  <si>
    <t>Continental School of Beauty Culture-Rochester</t>
  </si>
  <si>
    <t>Continental School of Beauty Culture-West Seneca</t>
  </si>
  <si>
    <t>Contra Costa College</t>
  </si>
  <si>
    <t>Contra Costa Community College District Office</t>
  </si>
  <si>
    <t>Contra Costa Medical Career College</t>
  </si>
  <si>
    <t>Converse University</t>
  </si>
  <si>
    <t>Conway School of Landscape Design</t>
  </si>
  <si>
    <t>Cooper Union for the Advancement of Science and Art</t>
  </si>
  <si>
    <t>Copiah-Lincoln Community College</t>
  </si>
  <si>
    <t>Copper Mountain Community College</t>
  </si>
  <si>
    <t>Coppin State University</t>
  </si>
  <si>
    <t>Corban University</t>
  </si>
  <si>
    <t>Corinth Academy of Cosmetology</t>
  </si>
  <si>
    <t>Cornell College</t>
  </si>
  <si>
    <t>Cornell University</t>
  </si>
  <si>
    <t>Cornerstone University</t>
  </si>
  <si>
    <t>Cornish College of the Arts</t>
  </si>
  <si>
    <t>Cortiva Institute</t>
  </si>
  <si>
    <t>Cortiva Institute-Arlington</t>
  </si>
  <si>
    <t>Cosmetology &amp; Spa Academy</t>
  </si>
  <si>
    <t>Cosmetology Academy of Texarkana</t>
  </si>
  <si>
    <t>Cosmetology Careers Unlimited College of Hair Skin and Nails</t>
  </si>
  <si>
    <t>Cosmetology Concepts Niles</t>
  </si>
  <si>
    <t>Cosmetology School of Arts &amp; Sciences</t>
  </si>
  <si>
    <t>Cosmetology Training Center</t>
  </si>
  <si>
    <t>Cosmo Beauty Academy</t>
  </si>
  <si>
    <t>Cossatot Community College of the University of Arkansas</t>
  </si>
  <si>
    <t>Cosumnes River College</t>
  </si>
  <si>
    <t>Cottey College</t>
  </si>
  <si>
    <t>County College of Morris</t>
  </si>
  <si>
    <t>Covenant College</t>
  </si>
  <si>
    <t>Covenant School of Nursing and Allied Health</t>
  </si>
  <si>
    <t>Covenant Theological Seminary</t>
  </si>
  <si>
    <t>Cowley County Community College</t>
  </si>
  <si>
    <t>Cox College</t>
  </si>
  <si>
    <t>Coyne College</t>
  </si>
  <si>
    <t>Cozmo Beauty School</t>
  </si>
  <si>
    <t>Crafton Hills College</t>
  </si>
  <si>
    <t>Cranbrook Academy of Art</t>
  </si>
  <si>
    <t>Crave Beauty Academy</t>
  </si>
  <si>
    <t>Craven Community College</t>
  </si>
  <si>
    <t>Crawford County Career and Technical Center Practical Nursing Program</t>
  </si>
  <si>
    <t>Creative Hair School of Cosmetology</t>
  </si>
  <si>
    <t>Creative Images Institute of Cosmetology-North Dayton</t>
  </si>
  <si>
    <t>Creative Images Institute of Cosmetology-South Dayton</t>
  </si>
  <si>
    <t>Creative Touch Cosmetology School</t>
  </si>
  <si>
    <t>Creighton University</t>
  </si>
  <si>
    <t>Crescent City Bartending School</t>
  </si>
  <si>
    <t>Crevier's Academy of Cosmetology Arts</t>
  </si>
  <si>
    <t>Criswell College</t>
  </si>
  <si>
    <t>Crowder College</t>
  </si>
  <si>
    <t>Crowley's Ridge College</t>
  </si>
  <si>
    <t>Crown College</t>
  </si>
  <si>
    <t>Crown Cutz Academy Bristol</t>
  </si>
  <si>
    <t>CRU Institute of Cosmetology and Barbering</t>
  </si>
  <si>
    <t>CT Aero Tech School</t>
  </si>
  <si>
    <t>CTK Healthcare &amp; Career Institute</t>
  </si>
  <si>
    <t>Cuesta College</t>
  </si>
  <si>
    <t>Culinary Institute Inc</t>
  </si>
  <si>
    <t>Culinary Institute of America</t>
  </si>
  <si>
    <t>Culinary Tech Center</t>
  </si>
  <si>
    <t>Culpeper Cosmetology Training Center</t>
  </si>
  <si>
    <t>Culver-Stockton College</t>
  </si>
  <si>
    <t>Cumberland University</t>
  </si>
  <si>
    <t>CUNY Bernard M Baruch College</t>
  </si>
  <si>
    <t>CUNY Borough of Manhattan Community College</t>
  </si>
  <si>
    <t>CUNY Bronx Community College</t>
  </si>
  <si>
    <t>CUNY Brooklyn College</t>
  </si>
  <si>
    <t>CUNY City College</t>
  </si>
  <si>
    <t>CUNY Graduate School and University Center</t>
  </si>
  <si>
    <t>CUNY Hostos Community College</t>
  </si>
  <si>
    <t>CUNY Hunter College</t>
  </si>
  <si>
    <t>CUNY John Jay College of Criminal Justice</t>
  </si>
  <si>
    <t>CUNY Kingsborough Community College</t>
  </si>
  <si>
    <t>CUNY LaGuardia Community College</t>
  </si>
  <si>
    <t>CUNY Lehman College</t>
  </si>
  <si>
    <t>CUNY Medgar Evers College</t>
  </si>
  <si>
    <t>CUNY New York City College of Technology</t>
  </si>
  <si>
    <t>CUNY Queens College</t>
  </si>
  <si>
    <t>CUNY Queensborough Community College</t>
  </si>
  <si>
    <t>CUNY School of Law</t>
  </si>
  <si>
    <t>CUNY Stella and Charles Guttman Community College</t>
  </si>
  <si>
    <t>CUNY System Office</t>
  </si>
  <si>
    <t>CUNY York College</t>
  </si>
  <si>
    <t>Curry College</t>
  </si>
  <si>
    <t>Curtis Institute of Music</t>
  </si>
  <si>
    <t>Cutting Edge Academy</t>
  </si>
  <si>
    <t>Cuyahoga Community College District</t>
  </si>
  <si>
    <t>Cuyahoga Valley Career Center</t>
  </si>
  <si>
    <t>Cuyamaca College</t>
  </si>
  <si>
    <t>CVPH Medical Center School of Radiologic Technology</t>
  </si>
  <si>
    <t>CyberTex Institute of Technology</t>
  </si>
  <si>
    <t>Cypress College</t>
  </si>
  <si>
    <t>Cyrus The Great International Online University</t>
  </si>
  <si>
    <t>D A Dorsey Technical College</t>
  </si>
  <si>
    <t>D&amp;S School of Cosmetology</t>
  </si>
  <si>
    <t>Dabney S Lancaster Community College</t>
  </si>
  <si>
    <t>Daemen University</t>
  </si>
  <si>
    <t>Dakota College at Bottineau</t>
  </si>
  <si>
    <t>Dakota County Technical College</t>
  </si>
  <si>
    <t>Dakota State University</t>
  </si>
  <si>
    <t>Dakota Wesleyan University</t>
  </si>
  <si>
    <t>Dallas Baptist University</t>
  </si>
  <si>
    <t>Dallas Barber &amp; Stylist College</t>
  </si>
  <si>
    <t>Dallas Christian College</t>
  </si>
  <si>
    <t>Dallas College</t>
  </si>
  <si>
    <t>Dallas Institute of Funeral Service</t>
  </si>
  <si>
    <t>Dallas Theological Seminary</t>
  </si>
  <si>
    <t>Dalton Institute of Esthetics and Cosmetology</t>
  </si>
  <si>
    <t>Dalton State College</t>
  </si>
  <si>
    <t>Danville Area Community College</t>
  </si>
  <si>
    <t>Danville Community College</t>
  </si>
  <si>
    <t>Daoist Traditions College of Chinese Medical Arts</t>
  </si>
  <si>
    <t>Dartmouth College</t>
  </si>
  <si>
    <t>Davenport University</t>
  </si>
  <si>
    <t>David Pressley School of Cosmetology</t>
  </si>
  <si>
    <t>Davidson College</t>
  </si>
  <si>
    <t>Davidson-Davie Community College</t>
  </si>
  <si>
    <t>Davines Professional Academy of Beauty and Business</t>
  </si>
  <si>
    <t>Davis &amp; Elkins College</t>
  </si>
  <si>
    <t>Davis College</t>
  </si>
  <si>
    <t>Davis Technical College</t>
  </si>
  <si>
    <t>Dawn Career Institute LLC</t>
  </si>
  <si>
    <t>Dawson Community College</t>
  </si>
  <si>
    <t>Daybreak University</t>
  </si>
  <si>
    <t>Dayton Barber College</t>
  </si>
  <si>
    <t>Dayton School of Medical Massage</t>
  </si>
  <si>
    <t>Daytona College</t>
  </si>
  <si>
    <t>Daytona State College</t>
  </si>
  <si>
    <t>DCI Career Institute</t>
  </si>
  <si>
    <t>De Anza College</t>
  </si>
  <si>
    <t>Dean College</t>
  </si>
  <si>
    <t>Debutantes School of Cosmetology and Nail Technology</t>
  </si>
  <si>
    <t>Defiance College</t>
  </si>
  <si>
    <t>DeHart Technical School</t>
  </si>
  <si>
    <t>Del Mar College</t>
  </si>
  <si>
    <t>Delaware Chenango Madison Otsego BOCES-Practical Nursing Program</t>
  </si>
  <si>
    <t>Delaware College of Art and Design</t>
  </si>
  <si>
    <t>Delaware County Community College</t>
  </si>
  <si>
    <t>Delaware County Technical School-Practical Nursing Program</t>
  </si>
  <si>
    <t>Delaware Learning Institute of Cosmetology</t>
  </si>
  <si>
    <t>Delaware State University</t>
  </si>
  <si>
    <t>Delaware Technical Community College-Central Office</t>
  </si>
  <si>
    <t>Delaware Technical Community College-Terry</t>
  </si>
  <si>
    <t>Delaware Valley University</t>
  </si>
  <si>
    <t>Delgado Community College</t>
  </si>
  <si>
    <t>Dell'Arte International School of Physical Theatre</t>
  </si>
  <si>
    <t>Delmarva Beauty Academy</t>
  </si>
  <si>
    <t>Delta Beauty College</t>
  </si>
  <si>
    <t>Delta College</t>
  </si>
  <si>
    <t>Delta College Inc</t>
  </si>
  <si>
    <t>Delta College of Arts &amp; Technology</t>
  </si>
  <si>
    <t>Delta College of Arts &amp; Technology-Lafayette Campus</t>
  </si>
  <si>
    <t>Delta College-Slidell Campus</t>
  </si>
  <si>
    <t>Delta Designs Cosmetology School</t>
  </si>
  <si>
    <t>Delta State University</t>
  </si>
  <si>
    <t>Delta Technical College-Mississippi</t>
  </si>
  <si>
    <t>Deluxe Barber College</t>
  </si>
  <si>
    <t>Denham Springs Beauty School</t>
  </si>
  <si>
    <t>Denison University</t>
  </si>
  <si>
    <t>Denmark College</t>
  </si>
  <si>
    <t>Denmark Technical College</t>
  </si>
  <si>
    <t>Dental Assistant Pro LLC-Columbus</t>
  </si>
  <si>
    <t>Dental Assistant Pro-Lebanon</t>
  </si>
  <si>
    <t>Denver College of Nursing</t>
  </si>
  <si>
    <t>Denver Seminary</t>
  </si>
  <si>
    <t>DePaul University</t>
  </si>
  <si>
    <t>DePauw University</t>
  </si>
  <si>
    <t>Derech Hachaim Seminary</t>
  </si>
  <si>
    <t>Dermal Science International Aesthetics and Nail Academy</t>
  </si>
  <si>
    <t>Des Moines Area Community College</t>
  </si>
  <si>
    <t>Des Moines University-Osteopathic Medical Center</t>
  </si>
  <si>
    <t>DeSales University</t>
  </si>
  <si>
    <t>Design Institute of San Diego</t>
  </si>
  <si>
    <t>Designer Barber &amp; Stylist School</t>
  </si>
  <si>
    <t>Design's School of Cosmetology</t>
  </si>
  <si>
    <t>Detroit Business Institute-Downriver</t>
  </si>
  <si>
    <t>DeVry College of New York</t>
  </si>
  <si>
    <t>DeVry University-Administrative Office</t>
  </si>
  <si>
    <t>DeVry University-Arizona</t>
  </si>
  <si>
    <t>DeVry University-California</t>
  </si>
  <si>
    <t>DeVry University-Colorado</t>
  </si>
  <si>
    <t>DeVry University-Florida</t>
  </si>
  <si>
    <t>DeVry University-Georgia</t>
  </si>
  <si>
    <t>DeVry University-Illinois</t>
  </si>
  <si>
    <t>DeVry University-Indiana</t>
  </si>
  <si>
    <t>DeVry University-Missouri</t>
  </si>
  <si>
    <t>DeVry University-Nevada</t>
  </si>
  <si>
    <t>DeVry University-New Jersey</t>
  </si>
  <si>
    <t>DeVry University-North Carolina</t>
  </si>
  <si>
    <t>DeVry University-Ohio</t>
  </si>
  <si>
    <t>DeVry University-Pennsylvania</t>
  </si>
  <si>
    <t>DeVry University-Tennessee</t>
  </si>
  <si>
    <t>DeVry University-Texas</t>
  </si>
  <si>
    <t>DeVry University-Virginia</t>
  </si>
  <si>
    <t>Dewey University-Carolina</t>
  </si>
  <si>
    <t>Dewey University-Hato Rey</t>
  </si>
  <si>
    <t>Dewey University-Juana DÃ­az</t>
  </si>
  <si>
    <t>Dewey University-Manati</t>
  </si>
  <si>
    <t>Diablo Valley College</t>
  </si>
  <si>
    <t>Diamond Beauty College</t>
  </si>
  <si>
    <t>Diamonds Cosmetology College</t>
  </si>
  <si>
    <t>Dickinson College</t>
  </si>
  <si>
    <t>Dickinson State University</t>
  </si>
  <si>
    <t>Diesel Driving Academy-Baton Rouge</t>
  </si>
  <si>
    <t>Diesel Driving Academy-Shreveport</t>
  </si>
  <si>
    <t>DigiPen Institute of Technology</t>
  </si>
  <si>
    <t>Digital Film Academy</t>
  </si>
  <si>
    <t>Digital Media Institute at InterTech</t>
  </si>
  <si>
    <t>DiGrigoli School of Cosmetology</t>
  </si>
  <si>
    <t>Dillard University</t>
  </si>
  <si>
    <t>Diman Regional Technical Institute</t>
  </si>
  <si>
    <t>Dine College</t>
  </si>
  <si>
    <t>Divers Academy International</t>
  </si>
  <si>
    <t>Divers Institute of Technology</t>
  </si>
  <si>
    <t>Diversified Vocational College</t>
  </si>
  <si>
    <t>Divine Mercy University</t>
  </si>
  <si>
    <t>Divine Word College</t>
  </si>
  <si>
    <t>Dixie State University</t>
  </si>
  <si>
    <t>Dixie Technical College</t>
  </si>
  <si>
    <t>DLP Conemaugh Memorial Medical Center</t>
  </si>
  <si>
    <t>D'Mart Institute</t>
  </si>
  <si>
    <t>Doane University</t>
  </si>
  <si>
    <t>Dodge City Community College</t>
  </si>
  <si>
    <t>Dolce The Academy</t>
  </si>
  <si>
    <t>Dominican College of Blauvelt</t>
  </si>
  <si>
    <t>Dominican School of Philosophy &amp; Theology</t>
  </si>
  <si>
    <t>Dominican University</t>
  </si>
  <si>
    <t>Dominican University of California</t>
  </si>
  <si>
    <t>Don Roberts School of Hair Design</t>
  </si>
  <si>
    <t>Dongguk University Los Angeles</t>
  </si>
  <si>
    <t>Donnelly College</t>
  </si>
  <si>
    <t>Dordt University</t>
  </si>
  <si>
    <t>Dorsey College</t>
  </si>
  <si>
    <t>Dorsey College-Dearborn</t>
  </si>
  <si>
    <t>Dorsey College-Roseville</t>
  </si>
  <si>
    <t>Dorsey College-Saginaw</t>
  </si>
  <si>
    <t>Dorsey College-Wayne</t>
  </si>
  <si>
    <t>Dorsey College-Woodhaven</t>
  </si>
  <si>
    <t>Dorsey School of Business-Madison Heights</t>
  </si>
  <si>
    <t>Douglas Education Center</t>
  </si>
  <si>
    <t>Douglas J Aveda Institute</t>
  </si>
  <si>
    <t>Downey Adult School</t>
  </si>
  <si>
    <t>Dr. Ida Rolf Institute</t>
  </si>
  <si>
    <t>Dragon Rises College of Oriental Medicine</t>
  </si>
  <si>
    <t>Drake University</t>
  </si>
  <si>
    <t>Drew University</t>
  </si>
  <si>
    <t>Drexel University</t>
  </si>
  <si>
    <t>Drury University</t>
  </si>
  <si>
    <t>Drury University-College of Continuing Professional Studies</t>
  </si>
  <si>
    <t>DSDT</t>
  </si>
  <si>
    <t>Duke University</t>
  </si>
  <si>
    <t>Dunwoody College of Technology</t>
  </si>
  <si>
    <t>Duquesne University</t>
  </si>
  <si>
    <t>Durant Institute of Hair Design</t>
  </si>
  <si>
    <t>Durham Technical Community College</t>
  </si>
  <si>
    <t>Dutchess BOCES-Practical Nursing Program</t>
  </si>
  <si>
    <t>Dutchess Community College</t>
  </si>
  <si>
    <t>DuVall's School of Cosmetology</t>
  </si>
  <si>
    <t>Dyersburg State Community College</t>
  </si>
  <si>
    <t>D'Youville College</t>
  </si>
  <si>
    <t>E Q School of Hair Design</t>
  </si>
  <si>
    <t>Ea La Mar's Cosmetology &amp; Barber College</t>
  </si>
  <si>
    <t>Eagle Gate College-Boise Campus</t>
  </si>
  <si>
    <t>Eagle Gate College-Layton</t>
  </si>
  <si>
    <t>Eagle Gate College-Murray</t>
  </si>
  <si>
    <t>Earlham College</t>
  </si>
  <si>
    <t>East Arkansas Community College</t>
  </si>
  <si>
    <t>East Carolina University</t>
  </si>
  <si>
    <t>East Central College</t>
  </si>
  <si>
    <t>East Central Community College</t>
  </si>
  <si>
    <t>East Central University</t>
  </si>
  <si>
    <t>East Georgia State College</t>
  </si>
  <si>
    <t>East Los Angeles College</t>
  </si>
  <si>
    <t>East Mississippi Community College</t>
  </si>
  <si>
    <t>East Ohio College</t>
  </si>
  <si>
    <t>East Stroudsburg University of Pennsylvania</t>
  </si>
  <si>
    <t>East Tennessee State University</t>
  </si>
  <si>
    <t>East Texas Baptist University</t>
  </si>
  <si>
    <t>East Valley Institute of Technology</t>
  </si>
  <si>
    <t>East West College of Natural Medicine</t>
  </si>
  <si>
    <t>East West College of the Healing Arts</t>
  </si>
  <si>
    <t>Eastern Arizona College</t>
  </si>
  <si>
    <t>Eastern Center for Arts and Technology</t>
  </si>
  <si>
    <t>Eastern College of Health Vocations-Little Rock</t>
  </si>
  <si>
    <t>Eastern College of Health Vocations-New Orleans</t>
  </si>
  <si>
    <t>Eastern Connecticut State University</t>
  </si>
  <si>
    <t>Eastern Florida State College</t>
  </si>
  <si>
    <t>Eastern Gateway Community College</t>
  </si>
  <si>
    <t>Eastern Illinois University</t>
  </si>
  <si>
    <t>Eastern International College-Belleville</t>
  </si>
  <si>
    <t>Eastern International College-Jersey City</t>
  </si>
  <si>
    <t>Eastern Iowa Community College District</t>
  </si>
  <si>
    <t>Eastern Kentucky University</t>
  </si>
  <si>
    <t>Eastern Maine Community College</t>
  </si>
  <si>
    <t>Eastern Mennonite University</t>
  </si>
  <si>
    <t>Eastern Michigan University</t>
  </si>
  <si>
    <t>Eastern Nazarene College</t>
  </si>
  <si>
    <t>Eastern New Mexico University Ruidoso Branch Community College</t>
  </si>
  <si>
    <t>Eastern New Mexico University-Main Campus</t>
  </si>
  <si>
    <t>Eastern New Mexico University-Roswell Campus</t>
  </si>
  <si>
    <t>Eastern Oklahoma County Technology Center</t>
  </si>
  <si>
    <t>Eastern Oklahoma State College</t>
  </si>
  <si>
    <t>Eastern Oregon University</t>
  </si>
  <si>
    <t>Eastern School of Acupuncture and Traditional Medicine</t>
  </si>
  <si>
    <t>Eastern Shore Community College</t>
  </si>
  <si>
    <t>Eastern Suffolk BOCES</t>
  </si>
  <si>
    <t>Eastern University</t>
  </si>
  <si>
    <t>Eastern Virginia Career College</t>
  </si>
  <si>
    <t>Eastern Virginia Medical School</t>
  </si>
  <si>
    <t>Eastern Washington University</t>
  </si>
  <si>
    <t>Eastern West Virginia Community and Technical College</t>
  </si>
  <si>
    <t>Eastern Wyoming College</t>
  </si>
  <si>
    <t>Eastland-Fairfield Career and Technical Schools</t>
  </si>
  <si>
    <t>East-West Healing Arts Institute</t>
  </si>
  <si>
    <t>East-West University</t>
  </si>
  <si>
    <t>Eastwick College-Hackensack</t>
  </si>
  <si>
    <t>Eastwick College-Nutley</t>
  </si>
  <si>
    <t>Eastwick College-Ramsey</t>
  </si>
  <si>
    <t>Ecclesia College</t>
  </si>
  <si>
    <t>Eckerd College</t>
  </si>
  <si>
    <t>ECPI University</t>
  </si>
  <si>
    <t>Ecumenical Theological Seminary</t>
  </si>
  <si>
    <t>Eden Theological Seminary</t>
  </si>
  <si>
    <t>Edgecombe Community College</t>
  </si>
  <si>
    <t>Edgewood College</t>
  </si>
  <si>
    <t>EDIC College</t>
  </si>
  <si>
    <t>Edinboro University of Pennsylvania</t>
  </si>
  <si>
    <t>Edison State Community College</t>
  </si>
  <si>
    <t>Edmonds College</t>
  </si>
  <si>
    <t>EDP School</t>
  </si>
  <si>
    <t>EDP University of Puerto Rico Inc-San Juan</t>
  </si>
  <si>
    <t>EDP University of Puerto Rico Inc-San Sebastian</t>
  </si>
  <si>
    <t>EDP University of Puerto Rico-Humacao</t>
  </si>
  <si>
    <t>EDP University of Puerto Rico-Manati</t>
  </si>
  <si>
    <t>EDP University of Puerto Rico-Villalba</t>
  </si>
  <si>
    <t>Educational Technical College</t>
  </si>
  <si>
    <t>Educational Technical College-Recinto de Bayamon</t>
  </si>
  <si>
    <t>Educational Technical College-Recinto de Coamo</t>
  </si>
  <si>
    <t>Educators of Beauty College of Cosmetology-Peru</t>
  </si>
  <si>
    <t>Educators of Beauty College of Cosmetology-Rockford</t>
  </si>
  <si>
    <t>Educators of Beauty College of Cosmetology-Sterling</t>
  </si>
  <si>
    <t>EduMed Partners</t>
  </si>
  <si>
    <t>Edward Via College of Osteopathic Medicine</t>
  </si>
  <si>
    <t>Edward Waters University</t>
  </si>
  <si>
    <t>EHOVE Career Center</t>
  </si>
  <si>
    <t>EINE Inc</t>
  </si>
  <si>
    <t>El Camino Community College District</t>
  </si>
  <si>
    <t>El Paso Community College</t>
  </si>
  <si>
    <t>Elaine Sterling Institute</t>
  </si>
  <si>
    <t>Electrical and HVAC/R Training Center</t>
  </si>
  <si>
    <t>Elevate Salon Institute</t>
  </si>
  <si>
    <t>Elevate Salon Institute-Westminster</t>
  </si>
  <si>
    <t>Elgin Community College</t>
  </si>
  <si>
    <t>Elim Bible Institute and College</t>
  </si>
  <si>
    <t>Elite Academy of Hair Design</t>
  </si>
  <si>
    <t>Elite College of Cosmetology</t>
  </si>
  <si>
    <t>Elite Cosmetology School</t>
  </si>
  <si>
    <t>Elite Cosmetology, Barber &amp; Spa Academy</t>
  </si>
  <si>
    <t>Elite School of Cosmetology</t>
  </si>
  <si>
    <t>Elite Welding Academy</t>
  </si>
  <si>
    <t>Elite Welding Academy LLC</t>
  </si>
  <si>
    <t>Elite Welding Academy South Point</t>
  </si>
  <si>
    <t>Elizabeth City State University</t>
  </si>
  <si>
    <t>Elizabeth Grady School of Esthetics and Massage Therapy</t>
  </si>
  <si>
    <t>Elizabethtown College</t>
  </si>
  <si>
    <t>Elizabethtown Community and Technical College</t>
  </si>
  <si>
    <t>Ellsworth Community College</t>
  </si>
  <si>
    <t>Elmezzi Graduate School of Molecular Medicine</t>
  </si>
  <si>
    <t>Elmhurst University</t>
  </si>
  <si>
    <t>Elmira Business Institute</t>
  </si>
  <si>
    <t>Elmira College</t>
  </si>
  <si>
    <t>Elon University</t>
  </si>
  <si>
    <t>Elyon College</t>
  </si>
  <si>
    <t>Embry-Riddle Aeronautical University-Daytona Beach</t>
  </si>
  <si>
    <t>Embry-Riddle Aeronautical University-Prescott</t>
  </si>
  <si>
    <t>Embry-Riddle Aeronautical University-Worldwide</t>
  </si>
  <si>
    <t>Emerald Coast Technical College</t>
  </si>
  <si>
    <t>Emerson College</t>
  </si>
  <si>
    <t>Emily Griffith Technical College</t>
  </si>
  <si>
    <t>Emmanuel College</t>
  </si>
  <si>
    <t>Emma's Beauty Academy-Juana Diaz</t>
  </si>
  <si>
    <t>Emma's Beauty Academy-Mayaguez</t>
  </si>
  <si>
    <t>Emmaus Bible College</t>
  </si>
  <si>
    <t>Emory &amp; Henry College</t>
  </si>
  <si>
    <t>Emory University</t>
  </si>
  <si>
    <t>Emory University-Oxford College</t>
  </si>
  <si>
    <t>Emperor's College of Traditional Oriental Medicine</t>
  </si>
  <si>
    <t>Empire Beauty  School-Lehigh Valley</t>
  </si>
  <si>
    <t>Empire Beauty School-Augusta</t>
  </si>
  <si>
    <t>Empire Beauty School-Aurora</t>
  </si>
  <si>
    <t>Empire Beauty School-Avondale</t>
  </si>
  <si>
    <t>Empire Beauty School-Bloomfield</t>
  </si>
  <si>
    <t>Empire Beauty School-Bloomington</t>
  </si>
  <si>
    <t>Empire Beauty School-Bordentown</t>
  </si>
  <si>
    <t>Empire Beauty School-Boston</t>
  </si>
  <si>
    <t>Empire Beauty School-Brooklyn</t>
  </si>
  <si>
    <t>Empire Beauty School-Buffalo</t>
  </si>
  <si>
    <t>Empire Beauty School-Center City Philadelphia</t>
  </si>
  <si>
    <t>Empire Beauty School-Chandler</t>
  </si>
  <si>
    <t>Empire Beauty School-Charlotte</t>
  </si>
  <si>
    <t>Empire Beauty School-Cheltenham</t>
  </si>
  <si>
    <t>Empire Beauty School-Chenoweth</t>
  </si>
  <si>
    <t>Empire Beauty School-Cherry Hill</t>
  </si>
  <si>
    <t>Empire Beauty School-Cincinnati</t>
  </si>
  <si>
    <t>Empire Beauty School-Concord</t>
  </si>
  <si>
    <t>Empire Beauty School-Dixie</t>
  </si>
  <si>
    <t>Empire Beauty School-E Memphis</t>
  </si>
  <si>
    <t>Empire Beauty School-Elizabethtown</t>
  </si>
  <si>
    <t>Empire Beauty School-Florence</t>
  </si>
  <si>
    <t>Empire Beauty School-Glen Burnie</t>
  </si>
  <si>
    <t>Empire Beauty School-Green Bay</t>
  </si>
  <si>
    <t>Empire Beauty School-Gwinnett</t>
  </si>
  <si>
    <t>Empire Beauty School-Hanover</t>
  </si>
  <si>
    <t>Empire Beauty School-Harrisburg</t>
  </si>
  <si>
    <t>Empire Beauty School-Hooksett</t>
  </si>
  <si>
    <t>Empire Beauty School-Indianapolis</t>
  </si>
  <si>
    <t>Empire Beauty School-Jackson</t>
  </si>
  <si>
    <t>Empire Beauty School-Kennesaw</t>
  </si>
  <si>
    <t>Empire Beauty School-Laconia</t>
  </si>
  <si>
    <t>Empire Beauty School-Lakeland</t>
  </si>
  <si>
    <t>Empire Beauty School-Lancaster</t>
  </si>
  <si>
    <t>Empire Beauty School-Lebanon</t>
  </si>
  <si>
    <t>Empire Beauty School-Littleton</t>
  </si>
  <si>
    <t>Empire Beauty School-Maine</t>
  </si>
  <si>
    <t>Empire Beauty School-Malden</t>
  </si>
  <si>
    <t>Empire Beauty School-Manhattan</t>
  </si>
  <si>
    <t>Empire Beauty School-Michigan</t>
  </si>
  <si>
    <t>Empire Beauty School-Midlothian</t>
  </si>
  <si>
    <t>Empire Beauty School-Milwaukee</t>
  </si>
  <si>
    <t>Empire Beauty School-Monroeville</t>
  </si>
  <si>
    <t>Empire Beauty School-Morrow</t>
  </si>
  <si>
    <t>Empire Beauty School-Nashville</t>
  </si>
  <si>
    <t>Empire Beauty School-NE Philadelphia</t>
  </si>
  <si>
    <t>Empire Beauty School-Newport News</t>
  </si>
  <si>
    <t>Empire Beauty School-North Hills</t>
  </si>
  <si>
    <t>Empire Beauty School-Northlake</t>
  </si>
  <si>
    <t>Empire Beauty School-NW Phoenix</t>
  </si>
  <si>
    <t>Empire Beauty School-Owings Mills</t>
  </si>
  <si>
    <t>Empire Beauty School-Peekskill</t>
  </si>
  <si>
    <t>Empire Beauty School-Pineville</t>
  </si>
  <si>
    <t>Empire Beauty School-Pottsville</t>
  </si>
  <si>
    <t>Empire Beauty School-Queens</t>
  </si>
  <si>
    <t>Empire Beauty School-Reading</t>
  </si>
  <si>
    <t>Empire Beauty School-Richmond</t>
  </si>
  <si>
    <t>Empire Beauty School-Rochester</t>
  </si>
  <si>
    <t>Empire Beauty School-S Memphis</t>
  </si>
  <si>
    <t>Empire Beauty School-Savannah</t>
  </si>
  <si>
    <t>Empire Beauty School-Shamokin Dam</t>
  </si>
  <si>
    <t>Empire Beauty School-Somersworth</t>
  </si>
  <si>
    <t>Empire Beauty School-Speedway</t>
  </si>
  <si>
    <t>Empire Beauty School-Spring Lake Park</t>
  </si>
  <si>
    <t>Empire Beauty School-Springfield</t>
  </si>
  <si>
    <t>Empire Beauty School-Stone Park</t>
  </si>
  <si>
    <t>Empire Beauty School-Tampa</t>
  </si>
  <si>
    <t>Empire Beauty School-Thornton</t>
  </si>
  <si>
    <t>Empire Beauty School-Tucson</t>
  </si>
  <si>
    <t>Empire Beauty School-Union</t>
  </si>
  <si>
    <t>Empire Beauty School-Vernon Hills</t>
  </si>
  <si>
    <t>Empire Beauty School-Virginia Beach</t>
  </si>
  <si>
    <t>Empire Beauty School-Warwick</t>
  </si>
  <si>
    <t>Empire Beauty School-West Greensboro</t>
  </si>
  <si>
    <t>Empire Beauty School-West Mifflin</t>
  </si>
  <si>
    <t>Empire Beauty School-West Palm</t>
  </si>
  <si>
    <t>Empire Beauty School-Winston-Salem</t>
  </si>
  <si>
    <t>Empire Beauty School-Wyoming Valley</t>
  </si>
  <si>
    <t>Empire Beauty School-York</t>
  </si>
  <si>
    <t>Empire College</t>
  </si>
  <si>
    <t>Employment Solutions-College for Technical Education</t>
  </si>
  <si>
    <t>Emporia State University</t>
  </si>
  <si>
    <t>Endicott College</t>
  </si>
  <si>
    <t>Enid Beauty College</t>
  </si>
  <si>
    <t>Ensign College</t>
  </si>
  <si>
    <t>Enterprise State Community College</t>
  </si>
  <si>
    <t>Epic Bible College &amp; Graduate School</t>
  </si>
  <si>
    <t>Episcopal Theological Seminary of the Southwest</t>
  </si>
  <si>
    <t>Eric Fisher Academy</t>
  </si>
  <si>
    <t>Erie 1 BOCES</t>
  </si>
  <si>
    <t>Erie 2 Chautauqua Cattaraugus BOCES-Practical Nursing Program</t>
  </si>
  <si>
    <t>Erie Community College</t>
  </si>
  <si>
    <t>Erie Institute of Technology Inc</t>
  </si>
  <si>
    <t>Erikson Institute</t>
  </si>
  <si>
    <t>Erskine College</t>
  </si>
  <si>
    <t>Erwin Technical College</t>
  </si>
  <si>
    <t>Escondido Adult School</t>
  </si>
  <si>
    <t>Escuela de Artes Plasticas y Diseno de Puerto Rico</t>
  </si>
  <si>
    <t>Escuela de Peritos Electricistas de Isabela Inc</t>
  </si>
  <si>
    <t>Escuela De Troqueleria Y Herramentaje</t>
  </si>
  <si>
    <t>Escuela Hotelera de San Juan</t>
  </si>
  <si>
    <t>Escuela Tecnica de Electricidad</t>
  </si>
  <si>
    <t>Essex County College</t>
  </si>
  <si>
    <t>Esteem Academy of Beauty</t>
  </si>
  <si>
    <t>Estelle Medical Academy</t>
  </si>
  <si>
    <t>Estelle Skin Care and Spa Institute</t>
  </si>
  <si>
    <t>Estes Institute of Cosmetology Arts and Science</t>
  </si>
  <si>
    <t>Estrella Mountain Community College</t>
  </si>
  <si>
    <t>ETI School of Skilled Trades</t>
  </si>
  <si>
    <t>ETI Technical College</t>
  </si>
  <si>
    <t>Euphoria Institute of Beauty Arts &amp; Sciences-Summerlin</t>
  </si>
  <si>
    <t>Eureka College</t>
  </si>
  <si>
    <t>European Massage Therapy School-Las Vegas</t>
  </si>
  <si>
    <t>European Medical School of Massage</t>
  </si>
  <si>
    <t>Evangel University</t>
  </si>
  <si>
    <t>Evangelical Theological Seminary</t>
  </si>
  <si>
    <t>Evans Hairstyling College-Cedar City</t>
  </si>
  <si>
    <t>Evans Hairstyling College-Rexburg</t>
  </si>
  <si>
    <t>Evans Hairstyling College-St George</t>
  </si>
  <si>
    <t>Everett Community College</t>
  </si>
  <si>
    <t>Everglades University</t>
  </si>
  <si>
    <t>Evergreen Beauty and Barber College-Everett</t>
  </si>
  <si>
    <t>Evergreen Valley College</t>
  </si>
  <si>
    <t>Eves College of Hairstyling</t>
  </si>
  <si>
    <t>Evolve Beauty Academy</t>
  </si>
  <si>
    <t>Evvaylois Academy School of Beauty</t>
  </si>
  <si>
    <t>Excelsior College</t>
  </si>
  <si>
    <t>Exposito School of Hair Design</t>
  </si>
  <si>
    <t>Fairfax University of America</t>
  </si>
  <si>
    <t>Fairfield University</t>
  </si>
  <si>
    <t>Fairleigh Dickinson University-Florham Campus</t>
  </si>
  <si>
    <t>Fairleigh Dickinson University-Metropolitan Campus</t>
  </si>
  <si>
    <t>Fairmont State University</t>
  </si>
  <si>
    <t>Faith Baptist Bible College and Theological Seminary</t>
  </si>
  <si>
    <t>Faith International University</t>
  </si>
  <si>
    <t>Faith Theological Seminary and Christian College</t>
  </si>
  <si>
    <t>Falcon Institute of Health and Science</t>
  </si>
  <si>
    <t>Family of Faith Christian University</t>
  </si>
  <si>
    <t>Farmingdale State College</t>
  </si>
  <si>
    <t>Fashion Institute of Technology</t>
  </si>
  <si>
    <t>Faulkner University</t>
  </si>
  <si>
    <t>Faust Institute of Cosmetology-Spirit Lake</t>
  </si>
  <si>
    <t>Fayette County Career &amp; Technical Institute Practical Nursing Program</t>
  </si>
  <si>
    <t>Fayette Institute of Technology</t>
  </si>
  <si>
    <t>Fayetteville State University</t>
  </si>
  <si>
    <t>Fayetteville Technical Community College</t>
  </si>
  <si>
    <t>Feather River Community College District</t>
  </si>
  <si>
    <t>Federico Beauty Institute</t>
  </si>
  <si>
    <t>Felbry College School of Nursing</t>
  </si>
  <si>
    <t>Felician University</t>
  </si>
  <si>
    <t>Ferris State University</t>
  </si>
  <si>
    <t>Ferrum College</t>
  </si>
  <si>
    <t>FIDM-Fashion Institute of Design &amp; Merchandising-Los Angeles</t>
  </si>
  <si>
    <t>FIDM-Fashion Institute of Design &amp; Merchandising-San Francisco</t>
  </si>
  <si>
    <t>Fielding Graduate University</t>
  </si>
  <si>
    <t>FINE Mortuary College</t>
  </si>
  <si>
    <t>Finger Lakes Community College</t>
  </si>
  <si>
    <t>Finger Lakes Health College of Nursing &amp; Health Sciences</t>
  </si>
  <si>
    <t>Finlandia University</t>
  </si>
  <si>
    <t>Firelands Regional Medical Center School of Nursing</t>
  </si>
  <si>
    <t>First Class Cosmetology School</t>
  </si>
  <si>
    <t>First Coast Barber Academy</t>
  </si>
  <si>
    <t>First Coast Technical College</t>
  </si>
  <si>
    <t>First Institute of Travel, Inc.</t>
  </si>
  <si>
    <t>Fisher College</t>
  </si>
  <si>
    <t>Fisk University</t>
  </si>
  <si>
    <t>Fitchburg State University</t>
  </si>
  <si>
    <t>Five Branches University</t>
  </si>
  <si>
    <t>Five Towns College</t>
  </si>
  <si>
    <t>Flagler College</t>
  </si>
  <si>
    <t>Flagler Technical College</t>
  </si>
  <si>
    <t>Flair Beauty College</t>
  </si>
  <si>
    <t>Flathead Valley Community College</t>
  </si>
  <si>
    <t>Fletcher Technical Community College</t>
  </si>
  <si>
    <t>Flint Hills Technical College</t>
  </si>
  <si>
    <t>Flint Institute of Barbering Inc</t>
  </si>
  <si>
    <t>Florence-Darlington Technical College</t>
  </si>
  <si>
    <t>Florida Academy</t>
  </si>
  <si>
    <t>Florida Academy of Health &amp; Beauty</t>
  </si>
  <si>
    <t>Florida Academy of Nursing</t>
  </si>
  <si>
    <t>Florida Agricultural and Mechanical University</t>
  </si>
  <si>
    <t>Florida Atlantic University</t>
  </si>
  <si>
    <t>Florida Barber Academy</t>
  </si>
  <si>
    <t>Florida Career College-Boynton Beach</t>
  </si>
  <si>
    <t>Florida Career College-Hialeah</t>
  </si>
  <si>
    <t>Florida Career College-Houston</t>
  </si>
  <si>
    <t>Florida Career College-Jacksonville</t>
  </si>
  <si>
    <t>Florida Career College-Lauderdale Lakes</t>
  </si>
  <si>
    <t>Florida Career College-Margate</t>
  </si>
  <si>
    <t>Florida Career College-Miami</t>
  </si>
  <si>
    <t>Florida Career College-Orlando</t>
  </si>
  <si>
    <t>Florida Career College-Pembroke Pines</t>
  </si>
  <si>
    <t>Florida Career College-Tampa</t>
  </si>
  <si>
    <t>Florida Career College-West Palm Beach</t>
  </si>
  <si>
    <t>Florida Coastal School of Law</t>
  </si>
  <si>
    <t>Florida College</t>
  </si>
  <si>
    <t>Florida College of Integrative Medicine</t>
  </si>
  <si>
    <t>Florida Education Institute</t>
  </si>
  <si>
    <t>Florida Gateway College</t>
  </si>
  <si>
    <t>Florida Gulf Coast University</t>
  </si>
  <si>
    <t>Florida Institute of Recording Sound and Technology</t>
  </si>
  <si>
    <t>Florida Institute of Technology</t>
  </si>
  <si>
    <t>Florida Institute of Technology-Online</t>
  </si>
  <si>
    <t>Florida Institute of Ultrasound Inc</t>
  </si>
  <si>
    <t>Florida International Training Institute</t>
  </si>
  <si>
    <t>Florida International University</t>
  </si>
  <si>
    <t>Florida Memorial University</t>
  </si>
  <si>
    <t>Florida National University-Main Campus</t>
  </si>
  <si>
    <t>Florida Panhandle Technical College</t>
  </si>
  <si>
    <t>Florida Polytechnic University</t>
  </si>
  <si>
    <t>Florida Professional Institute</t>
  </si>
  <si>
    <t>Florida School of Massage</t>
  </si>
  <si>
    <t>Florida School of Traditional Midwifery</t>
  </si>
  <si>
    <t>Florida Southern College</t>
  </si>
  <si>
    <t>Florida SouthWestern State College</t>
  </si>
  <si>
    <t>Florida State College at Jacksonville</t>
  </si>
  <si>
    <t>Florida State University</t>
  </si>
  <si>
    <t>Focus Personal Training Institute</t>
  </si>
  <si>
    <t>Folsom Lake College</t>
  </si>
  <si>
    <t>Fond du Lac Tribal and Community College</t>
  </si>
  <si>
    <t>Fontbonne University</t>
  </si>
  <si>
    <t>Foothill College</t>
  </si>
  <si>
    <t>Foothill-De Anza Community College District</t>
  </si>
  <si>
    <t>Forbes Road Career and Technology Center</t>
  </si>
  <si>
    <t>Fordham University</t>
  </si>
  <si>
    <t>Formations Institute of Cosmetology &amp; Barbering</t>
  </si>
  <si>
    <t>Forsyth Technical Community College</t>
  </si>
  <si>
    <t>Fort Hays State University</t>
  </si>
  <si>
    <t>Fort Lewis College</t>
  </si>
  <si>
    <t>Fort Myers Technical College</t>
  </si>
  <si>
    <t>Fort Peck Community College</t>
  </si>
  <si>
    <t>Fort Pierce Beauty Academy</t>
  </si>
  <si>
    <t>Fort Scott Community College</t>
  </si>
  <si>
    <t>Fort Valley State University</t>
  </si>
  <si>
    <t>Fort Worth Beauty School</t>
  </si>
  <si>
    <t>Fortis College</t>
  </si>
  <si>
    <t>Fortis College-Baton Rouge</t>
  </si>
  <si>
    <t>Fortis College-Centerville</t>
  </si>
  <si>
    <t>Fortis College-Cincinnati</t>
  </si>
  <si>
    <t>Fortis College-Columbia</t>
  </si>
  <si>
    <t>Fortis College-Columbus</t>
  </si>
  <si>
    <t>Fortis College-Cutler Bay</t>
  </si>
  <si>
    <t>Fortis College-Cuyahoga Falls</t>
  </si>
  <si>
    <t>Fortis College-Dothan</t>
  </si>
  <si>
    <t>Fortis College-Foley</t>
  </si>
  <si>
    <t>Fortis College-Indianapolis</t>
  </si>
  <si>
    <t>Fortis College-Landover</t>
  </si>
  <si>
    <t>Fortis College-Montgomery</t>
  </si>
  <si>
    <t>Fortis College-Norfolk</t>
  </si>
  <si>
    <t>Fortis College-Orange Park</t>
  </si>
  <si>
    <t>Fortis College-Richmond</t>
  </si>
  <si>
    <t>Fortis College-Salt Lake City</t>
  </si>
  <si>
    <t>Fortis College-Smyrna</t>
  </si>
  <si>
    <t>Fortis Institute</t>
  </si>
  <si>
    <t>Fortis Institute-Birmingham</t>
  </si>
  <si>
    <t>Fortis Institute-Cookeville</t>
  </si>
  <si>
    <t>Fortis Institute-Forty Fort</t>
  </si>
  <si>
    <t>Fortis Institute-Lawrenceville</t>
  </si>
  <si>
    <t>Fortis Institute-Nashville</t>
  </si>
  <si>
    <t>Fortis Institute-Pensacola</t>
  </si>
  <si>
    <t>Fortis Institute-Port Saint Lucie</t>
  </si>
  <si>
    <t>Fortis Institute-Scranton</t>
  </si>
  <si>
    <t>Fortis Institute-Towson</t>
  </si>
  <si>
    <t>Fortis Institute-Wayne</t>
  </si>
  <si>
    <t>Fosbre Academy of Hair Design</t>
  </si>
  <si>
    <t>Fosters Cosmetology College</t>
  </si>
  <si>
    <t>Fountain of Youth Academy of Cosmetology</t>
  </si>
  <si>
    <t>Four County Career Center</t>
  </si>
  <si>
    <t>Four Rivers Career Center</t>
  </si>
  <si>
    <t>Fox College</t>
  </si>
  <si>
    <t>Fox Valley Technical College</t>
  </si>
  <si>
    <t>Framingham State University</t>
  </si>
  <si>
    <t>Francis Marion University</t>
  </si>
  <si>
    <t>Francis Tuttle Technology Center</t>
  </si>
  <si>
    <t>Franciscan Missionaries of Our Lady University</t>
  </si>
  <si>
    <t>Franciscan School of Theology</t>
  </si>
  <si>
    <t>Franciscan University of Steubenville</t>
  </si>
  <si>
    <t>Frank Phillips College</t>
  </si>
  <si>
    <t>Franklin and Marshall College</t>
  </si>
  <si>
    <t>Franklin College</t>
  </si>
  <si>
    <t>Franklin County Career and Technology Center</t>
  </si>
  <si>
    <t>Franklin Hair Academy School of Cosmetology</t>
  </si>
  <si>
    <t>Franklin Pierce University</t>
  </si>
  <si>
    <t>Franklin Technology Center Adult Education</t>
  </si>
  <si>
    <t>Franklin University</t>
  </si>
  <si>
    <t>Franklin W Olin College of Engineering</t>
  </si>
  <si>
    <t>Fred K Marchman Technical College</t>
  </si>
  <si>
    <t>Fred W Eberle Technical Center</t>
  </si>
  <si>
    <t>Frederick Community College</t>
  </si>
  <si>
    <t>Fredrick and Charles Beauty College</t>
  </si>
  <si>
    <t>Freed-Hardeman University</t>
  </si>
  <si>
    <t>Fremont College</t>
  </si>
  <si>
    <t>French Academy of Cosmetology</t>
  </si>
  <si>
    <t>Fresno City College</t>
  </si>
  <si>
    <t>Fresno Pacific University</t>
  </si>
  <si>
    <t>Friends University</t>
  </si>
  <si>
    <t>Front Range Community College</t>
  </si>
  <si>
    <t>Frontier Community College</t>
  </si>
  <si>
    <t>Frontier Nursing University</t>
  </si>
  <si>
    <t>Frostburg State University</t>
  </si>
  <si>
    <t>Full Sail University</t>
  </si>
  <si>
    <t>Fuller Theological Seminary</t>
  </si>
  <si>
    <t>Fullerton College</t>
  </si>
  <si>
    <t>Fulton-Montgomery Community College</t>
  </si>
  <si>
    <t>Furman University</t>
  </si>
  <si>
    <t>Futura Career Institute</t>
  </si>
  <si>
    <t>Future Generations University</t>
  </si>
  <si>
    <t>Future-Tech Institute</t>
  </si>
  <si>
    <t>FVI School of Nursing and Technology</t>
  </si>
  <si>
    <t>G Skin &amp; Beauty Institute</t>
  </si>
  <si>
    <t>GA Beauty &amp; Barber School</t>
  </si>
  <si>
    <t>Gadsden State Community College</t>
  </si>
  <si>
    <t>Gadsden Technical Institute</t>
  </si>
  <si>
    <t>Galaxy Medical College</t>
  </si>
  <si>
    <t>Galen College of Nursing-ARH</t>
  </si>
  <si>
    <t>Galen College of Nursing-Cincinnati</t>
  </si>
  <si>
    <t>Galen College of Nursing-Louisville</t>
  </si>
  <si>
    <t>Galen College of Nursing-San Antonio</t>
  </si>
  <si>
    <t>Galen College of Nursing-Tampa Bay</t>
  </si>
  <si>
    <t>Galen Health Institutes-Austin Campus</t>
  </si>
  <si>
    <t>Galen Health Institutes-Miami Campus</t>
  </si>
  <si>
    <t>Galen Health Institutes-Nashville Campus</t>
  </si>
  <si>
    <t>Gallaudet University</t>
  </si>
  <si>
    <t>Galveston College</t>
  </si>
  <si>
    <t>Gannon University</t>
  </si>
  <si>
    <t>Garden City Community College</t>
  </si>
  <si>
    <t>Garden State Science and Technology Institute</t>
  </si>
  <si>
    <t>Gardner-Webb University</t>
  </si>
  <si>
    <t>Garnet Career Center</t>
  </si>
  <si>
    <t>Garrett College</t>
  </si>
  <si>
    <t>Garrett-Evangelical Theological Seminary</t>
  </si>
  <si>
    <t>Gaston College</t>
  </si>
  <si>
    <t>Gateway Community and Technical College</t>
  </si>
  <si>
    <t>GateWay Community College</t>
  </si>
  <si>
    <t>Gateway Community College</t>
  </si>
  <si>
    <t>GateWay Community College-Central City</t>
  </si>
  <si>
    <t>Gateway Technical College</t>
  </si>
  <si>
    <t>Gather 4 Him Christian College</t>
  </si>
  <si>
    <t>Gavilan College</t>
  </si>
  <si>
    <t>Geisinger Commonwealth School of Medicine</t>
  </si>
  <si>
    <t>Geisinger-Lewistown Hospital School of Nursing</t>
  </si>
  <si>
    <t>Gem City College</t>
  </si>
  <si>
    <t>Gemini School of Visual Arts &amp; Communication</t>
  </si>
  <si>
    <t>Gemological Institute of America-Carlsbad</t>
  </si>
  <si>
    <t>Gemological Institute of America-New York</t>
  </si>
  <si>
    <t>Genesee Community College</t>
  </si>
  <si>
    <t>Genesee Valley BOCES-Practical Nursing Program</t>
  </si>
  <si>
    <t>Genesis Career College-Cookeville</t>
  </si>
  <si>
    <t>Genesis Career College-Lebanon</t>
  </si>
  <si>
    <t>Geneva College</t>
  </si>
  <si>
    <t>George C Wallace Community College-Dothan</t>
  </si>
  <si>
    <t>George C Wallace State Community College-Hanceville</t>
  </si>
  <si>
    <t>George C Wallace State Community College-Selma</t>
  </si>
  <si>
    <t>George Fox University</t>
  </si>
  <si>
    <t>George Mason University</t>
  </si>
  <si>
    <t>George Stone Technical College</t>
  </si>
  <si>
    <t>George T Baker Aviation Technical College</t>
  </si>
  <si>
    <t>George Washington University</t>
  </si>
  <si>
    <t>Georgetown College</t>
  </si>
  <si>
    <t>Georgetown University</t>
  </si>
  <si>
    <t>Georgia Career Institute</t>
  </si>
  <si>
    <t>Georgia College &amp; State University</t>
  </si>
  <si>
    <t>Georgia Gwinnett College</t>
  </si>
  <si>
    <t>Georgia Highlands College</t>
  </si>
  <si>
    <t>Georgia Institute of Cosmetology</t>
  </si>
  <si>
    <t>Georgia Institute of Technology-Main Campus</t>
  </si>
  <si>
    <t>Georgia Military College</t>
  </si>
  <si>
    <t>Georgia Northwestern Technical College</t>
  </si>
  <si>
    <t>Georgia Piedmont Technical College</t>
  </si>
  <si>
    <t>Georgia Southern University</t>
  </si>
  <si>
    <t>Georgia Southwestern State University</t>
  </si>
  <si>
    <t>Georgia State University</t>
  </si>
  <si>
    <t>Georgia State University-Perimeter College</t>
  </si>
  <si>
    <t>Georgian Court University</t>
  </si>
  <si>
    <t>Gerbers Akron Beauty School</t>
  </si>
  <si>
    <t>Germanna Community College</t>
  </si>
  <si>
    <t>Gettysburg College</t>
  </si>
  <si>
    <t>Glasgow Caledonian New York College</t>
  </si>
  <si>
    <t>Glen Dow Academy of Hair Design</t>
  </si>
  <si>
    <t>Glen Oaks Community College</t>
  </si>
  <si>
    <t>Glendale Career College</t>
  </si>
  <si>
    <t>Glendale Career College-North-West College-Bakersfield</t>
  </si>
  <si>
    <t>Glendale Community College</t>
  </si>
  <si>
    <t>Glenville State University</t>
  </si>
  <si>
    <t>Glitz School of Cosmetology</t>
  </si>
  <si>
    <t>Global Medical &amp; Technical Training Institute</t>
  </si>
  <si>
    <t>Global Tech College</t>
  </si>
  <si>
    <t>Gnomon</t>
  </si>
  <si>
    <t>Goddard College</t>
  </si>
  <si>
    <t>Gods Bible School and College</t>
  </si>
  <si>
    <t>Gogebic Community College</t>
  </si>
  <si>
    <t>Golden Gate University</t>
  </si>
  <si>
    <t>Golden West College</t>
  </si>
  <si>
    <t>Goldey-Beacom College</t>
  </si>
  <si>
    <t>Gonzaga University</t>
  </si>
  <si>
    <t>Good Samaritan College of Nursing and Health Science</t>
  </si>
  <si>
    <t>GoodFellas Barber College</t>
  </si>
  <si>
    <t>Goodwin University</t>
  </si>
  <si>
    <t>Gordon College</t>
  </si>
  <si>
    <t>Gordon Cooper Technology Center</t>
  </si>
  <si>
    <t>Gordon State College</t>
  </si>
  <si>
    <t>Gordon-Conwell Theological Seminary</t>
  </si>
  <si>
    <t>Goshen College</t>
  </si>
  <si>
    <t>Goshen School of Cosmetology</t>
  </si>
  <si>
    <t>Goucher College</t>
  </si>
  <si>
    <t>Gould's Academy</t>
  </si>
  <si>
    <t>Governors State University</t>
  </si>
  <si>
    <t>Grabber School of Hair Design</t>
  </si>
  <si>
    <t>Grace Christian University</t>
  </si>
  <si>
    <t>Grace College and Theological Seminary</t>
  </si>
  <si>
    <t>Grace International Beauty School</t>
  </si>
  <si>
    <t>Grace Mission University</t>
  </si>
  <si>
    <t>Grace School of Theology</t>
  </si>
  <si>
    <t>Graceland University-Lamoni</t>
  </si>
  <si>
    <t>Graduate Theological Union</t>
  </si>
  <si>
    <t>Grady Health System Professional Schools</t>
  </si>
  <si>
    <t>Graham Hospital School of Nursing</t>
  </si>
  <si>
    <t>Grambling State University</t>
  </si>
  <si>
    <t>Grand Canyon University</t>
  </si>
  <si>
    <t>Grand Rapids Community College</t>
  </si>
  <si>
    <t>Grand River Technical School</t>
  </si>
  <si>
    <t>Grand Valley State University</t>
  </si>
  <si>
    <t>Grand View University</t>
  </si>
  <si>
    <t>Granite State College</t>
  </si>
  <si>
    <t>Grantham University</t>
  </si>
  <si>
    <t>Gratz College</t>
  </si>
  <si>
    <t>Grays Harbor College</t>
  </si>
  <si>
    <t>Grayson College</t>
  </si>
  <si>
    <t>Great Basin College</t>
  </si>
  <si>
    <t>Great Bay Community College</t>
  </si>
  <si>
    <t>Great Falls College Montana State University</t>
  </si>
  <si>
    <t>Great Lakes Boat Building School</t>
  </si>
  <si>
    <t>Great Lakes Christian College</t>
  </si>
  <si>
    <t>Great Lakes Institute of Technology</t>
  </si>
  <si>
    <t>Great Northern University</t>
  </si>
  <si>
    <t>Great Oaks Career Campuses</t>
  </si>
  <si>
    <t>Great Plains Technology Center</t>
  </si>
  <si>
    <t>Greater Altoona Career &amp; Technology Center</t>
  </si>
  <si>
    <t>Greater Johnstown Career and Technology Center</t>
  </si>
  <si>
    <t>Greater Lowell Technical School</t>
  </si>
  <si>
    <t>Green Country Technology Center</t>
  </si>
  <si>
    <t>Green River College</t>
  </si>
  <si>
    <t>Greene County Career and Technology Center</t>
  </si>
  <si>
    <t>Greene County Career Center</t>
  </si>
  <si>
    <t>Greenfield Community College</t>
  </si>
  <si>
    <t>Greensboro College</t>
  </si>
  <si>
    <t>Greenville Technical College</t>
  </si>
  <si>
    <t>Greenville University</t>
  </si>
  <si>
    <t>Grinnell College</t>
  </si>
  <si>
    <t>Grossmont College</t>
  </si>
  <si>
    <t>Grossmont-Cuyamaca Community College District</t>
  </si>
  <si>
    <t>Grove City College</t>
  </si>
  <si>
    <t>Guam Community College</t>
  </si>
  <si>
    <t>Guilford College</t>
  </si>
  <si>
    <t>Guilford Technical Community College</t>
  </si>
  <si>
    <t>Gulf Coast State College</t>
  </si>
  <si>
    <t>Gupton Jones College of Funeral Service</t>
  </si>
  <si>
    <t>Gurnick Academy of Medical Arts</t>
  </si>
  <si>
    <t>Gustavus Adolphus College</t>
  </si>
  <si>
    <t>Guy's Shreveport Academy of Cosmetology Inc</t>
  </si>
  <si>
    <t>Gwinnett College</t>
  </si>
  <si>
    <t>Gwinnett College-Lilburn</t>
  </si>
  <si>
    <t>Gwinnett College-Marietta Campus</t>
  </si>
  <si>
    <t>Gwinnett College-Sandy Springs</t>
  </si>
  <si>
    <t>Gwinnett Institute</t>
  </si>
  <si>
    <t>Gwinnett Technical College</t>
  </si>
  <si>
    <t>Gwynedd Mercy University</t>
  </si>
  <si>
    <t>H Councill Trenholm State Community College</t>
  </si>
  <si>
    <t>Hacienda La Puente Adult Education</t>
  </si>
  <si>
    <t>Hackensack Meridian School of Medicine</t>
  </si>
  <si>
    <t>Hagerstown Community College</t>
  </si>
  <si>
    <t>Hair Academy</t>
  </si>
  <si>
    <t>Hair Academy II</t>
  </si>
  <si>
    <t>Hair Academy School of Barbering &amp; Beauty</t>
  </si>
  <si>
    <t>Hair Arts Institute</t>
  </si>
  <si>
    <t>Hair Expressions Academy</t>
  </si>
  <si>
    <t>Hair Professionals Career College</t>
  </si>
  <si>
    <t>Hair Professionals School of Cosmetology</t>
  </si>
  <si>
    <t>Hairmasters Institute of Cosmetology</t>
  </si>
  <si>
    <t>Halifax Community College</t>
  </si>
  <si>
    <t>Hallmark University</t>
  </si>
  <si>
    <t>Hamilton College</t>
  </si>
  <si>
    <t>Hamline University</t>
  </si>
  <si>
    <t>Hampden-Sydney College</t>
  </si>
  <si>
    <t>Hampshire College</t>
  </si>
  <si>
    <t>Hampton University</t>
  </si>
  <si>
    <t>Hamrick School</t>
  </si>
  <si>
    <t>Hands on Therapy</t>
  </si>
  <si>
    <t>Hannah E Mullins School of Practical Nursing</t>
  </si>
  <si>
    <t>Hannibal-LaGrange University</t>
  </si>
  <si>
    <t>Hanover College</t>
  </si>
  <si>
    <t>Harcum College</t>
  </si>
  <si>
    <t>Harding University</t>
  </si>
  <si>
    <t>Hardin-Simmons University</t>
  </si>
  <si>
    <t>Harford Community College</t>
  </si>
  <si>
    <t>Harmony Health Care Institute</t>
  </si>
  <si>
    <t>Harrisburg Area Community College</t>
  </si>
  <si>
    <t>Harrisburg University of Science and Technology</t>
  </si>
  <si>
    <t>Harris-Stowe State University</t>
  </si>
  <si>
    <t>Hartford Seminary</t>
  </si>
  <si>
    <t>Hartnell College</t>
  </si>
  <si>
    <t>Hartwick College</t>
  </si>
  <si>
    <t>Harvard University</t>
  </si>
  <si>
    <t>Harvey Mudd College</t>
  </si>
  <si>
    <t>Haskell Indian Nations University</t>
  </si>
  <si>
    <t>Hastings Beauty School</t>
  </si>
  <si>
    <t>Hastings College</t>
  </si>
  <si>
    <t>Hatfield's Mississippi College of Beauty Culture</t>
  </si>
  <si>
    <t>Haven University</t>
  </si>
  <si>
    <t>Haverford College</t>
  </si>
  <si>
    <t>Hawaii Community College</t>
  </si>
  <si>
    <t>Hawaii Institute of Hair Design</t>
  </si>
  <si>
    <t>Hawaii Medical College</t>
  </si>
  <si>
    <t>Hawaii Pacific University</t>
  </si>
  <si>
    <t>Hawkeye Community College</t>
  </si>
  <si>
    <t>Hays Academy of Hair Design</t>
  </si>
  <si>
    <t>Haywood Community College</t>
  </si>
  <si>
    <t>Hazard Community and Technical College</t>
  </si>
  <si>
    <t>Hazelden Betty Ford Graduate School of Addiction Studies</t>
  </si>
  <si>
    <t>Hazleton Area Career Center</t>
  </si>
  <si>
    <t>HCI College</t>
  </si>
  <si>
    <t>HDS Truck Driving Institute</t>
  </si>
  <si>
    <t>Headmasters School of Hair Design</t>
  </si>
  <si>
    <t>Healing Arts Center</t>
  </si>
  <si>
    <t>Healing Hands School of Holistic Health</t>
  </si>
  <si>
    <t>Healing Mountain Massage School</t>
  </si>
  <si>
    <t>Health And Style Institute</t>
  </si>
  <si>
    <t>Health and Technology Training Institute</t>
  </si>
  <si>
    <t>Healthcare Career College</t>
  </si>
  <si>
    <t>Healthcare Training Institute</t>
  </si>
  <si>
    <t>Health-Tech Institute of Memphis</t>
  </si>
  <si>
    <t>Heartland Community College</t>
  </si>
  <si>
    <t>Hebrew College</t>
  </si>
  <si>
    <t>Hebrew Theological College</t>
  </si>
  <si>
    <t>Hebrew Union College-Jewish Institute of Religion</t>
  </si>
  <si>
    <t>Heidelberg University</t>
  </si>
  <si>
    <t>Helena College University of Montana</t>
  </si>
  <si>
    <t>Helene Fuld College of Nursing</t>
  </si>
  <si>
    <t>Hellenic College-Holy Cross Greek Orthodox School of Theology</t>
  </si>
  <si>
    <t>Helms College</t>
  </si>
  <si>
    <t>Henderson Community College</t>
  </si>
  <si>
    <t>Henderson State University</t>
  </si>
  <si>
    <t>Hendrix College</t>
  </si>
  <si>
    <t>Hennepin Technical College</t>
  </si>
  <si>
    <t>Henrico County-Saint Marys Hospital School of Practical Nursing</t>
  </si>
  <si>
    <t>Henry Ford College</t>
  </si>
  <si>
    <t>Heritage Bible College</t>
  </si>
  <si>
    <t>Heritage Christian University</t>
  </si>
  <si>
    <t>Heritage University</t>
  </si>
  <si>
    <t>Heritage Valley Kennedy School of Nursing</t>
  </si>
  <si>
    <t>Herkimer County BOCES-Practical Nursing Program</t>
  </si>
  <si>
    <t>Herkimer County Community College</t>
  </si>
  <si>
    <t>Herzing University-Akron</t>
  </si>
  <si>
    <t>Herzing University-Atlanta</t>
  </si>
  <si>
    <t>Herzing University-Birmingham</t>
  </si>
  <si>
    <t>Herzing University-Brookfield</t>
  </si>
  <si>
    <t>Herzing University-Kenosha</t>
  </si>
  <si>
    <t>Herzing University-Madison</t>
  </si>
  <si>
    <t>Herzing University-Minneapolis</t>
  </si>
  <si>
    <t>Herzing University-New Orleans</t>
  </si>
  <si>
    <t>Herzing University-Orlando</t>
  </si>
  <si>
    <t>Herzing University-Tampa</t>
  </si>
  <si>
    <t>Hesston College</t>
  </si>
  <si>
    <t>Hibbing Community College</t>
  </si>
  <si>
    <t>High Desert Medical College</t>
  </si>
  <si>
    <t>High Plains Technology Center</t>
  </si>
  <si>
    <t>High Point University</t>
  </si>
  <si>
    <t>High Tech High Graduate School of Education</t>
  </si>
  <si>
    <t>Highland Community College</t>
  </si>
  <si>
    <t>Highlands College of Montana Tech</t>
  </si>
  <si>
    <t>Highlights Beauty Schools</t>
  </si>
  <si>
    <t>Highline College</t>
  </si>
  <si>
    <t>Hilbert College</t>
  </si>
  <si>
    <t>Hill College</t>
  </si>
  <si>
    <t>Hillsborough Community College</t>
  </si>
  <si>
    <t>Hillsdale Beauty College</t>
  </si>
  <si>
    <t>Hillsdale College</t>
  </si>
  <si>
    <t>Hilltop Beauty School</t>
  </si>
  <si>
    <t>Hinds Community College</t>
  </si>
  <si>
    <t>Hinton Barber and Beauty College</t>
  </si>
  <si>
    <t>Hiram College</t>
  </si>
  <si>
    <t>Hobart Institute of Welding Technology</t>
  </si>
  <si>
    <t>Hobart William Smith Colleges</t>
  </si>
  <si>
    <t>Hobe Sound Bible College</t>
  </si>
  <si>
    <t>Hocking College</t>
  </si>
  <si>
    <t>Hodges University</t>
  </si>
  <si>
    <t>Hofstra University</t>
  </si>
  <si>
    <t>Hogan Institute of Cosmetology and Esthetics</t>
  </si>
  <si>
    <t>Hohokus School of Trade and Technical Sciences</t>
  </si>
  <si>
    <t>Holistic Massage Training Institute</t>
  </si>
  <si>
    <t>Hollins University</t>
  </si>
  <si>
    <t>Hollywood Cultural College</t>
  </si>
  <si>
    <t>Hollywood Institute</t>
  </si>
  <si>
    <t>Hollywood Institute of Beauty Careers</t>
  </si>
  <si>
    <t>Hollywood Institute of Beauty Careers-Casselberry</t>
  </si>
  <si>
    <t>Hollywood Institute of Beauty Careers-West Palm Beach</t>
  </si>
  <si>
    <t>Holmes Community College</t>
  </si>
  <si>
    <t>Holy Apostles College and Seminary</t>
  </si>
  <si>
    <t>Holy Cross College</t>
  </si>
  <si>
    <t>Holy Family University</t>
  </si>
  <si>
    <t>Holy Name Medical Center-Sister Claire Tynan School of Nursing</t>
  </si>
  <si>
    <t>Holy Names University</t>
  </si>
  <si>
    <t>Holyoke Community College</t>
  </si>
  <si>
    <t>Homestead Schools</t>
  </si>
  <si>
    <t>Hondros College of Nursing</t>
  </si>
  <si>
    <t>Honolulu Community College</t>
  </si>
  <si>
    <t>Hood College</t>
  </si>
  <si>
    <t>Hood Theological Seminary</t>
  </si>
  <si>
    <t>Hope College</t>
  </si>
  <si>
    <t>Hope College of Arts and Sciences</t>
  </si>
  <si>
    <t>Hope International University</t>
  </si>
  <si>
    <t>Hopkinsville Community College</t>
  </si>
  <si>
    <t>Horizon University</t>
  </si>
  <si>
    <t>Horry-Georgetown Technical College</t>
  </si>
  <si>
    <t>Hoss Lee Academy</t>
  </si>
  <si>
    <t>Hot Springs Beauty College</t>
  </si>
  <si>
    <t>Houghton College</t>
  </si>
  <si>
    <t>Housatonic Community College</t>
  </si>
  <si>
    <t>House of Heavilin Beauty College-Blue Springs</t>
  </si>
  <si>
    <t>House of Heavilin Beauty College-Kansas City</t>
  </si>
  <si>
    <t>House of Heavilin Beauty College-Raymore</t>
  </si>
  <si>
    <t>Houston Baptist University</t>
  </si>
  <si>
    <t>Houston Barber School</t>
  </si>
  <si>
    <t>Houston Community College</t>
  </si>
  <si>
    <t>Houston Graduate School of Theology</t>
  </si>
  <si>
    <t>Houston International College Cardiotech Ultrasound School</t>
  </si>
  <si>
    <t>Houston School of Carpentry</t>
  </si>
  <si>
    <t>Houston Training School-Main Campus</t>
  </si>
  <si>
    <t>Houston Training Schools-Gessner</t>
  </si>
  <si>
    <t>Howard College</t>
  </si>
  <si>
    <t>Howard Community College</t>
  </si>
  <si>
    <t>Howard Payne University</t>
  </si>
  <si>
    <t>Howard University</t>
  </si>
  <si>
    <t>Hudson County Community College</t>
  </si>
  <si>
    <t>Hudson Valley Community College</t>
  </si>
  <si>
    <t>Huertas College</t>
  </si>
  <si>
    <t>Hult International Business School</t>
  </si>
  <si>
    <t>Humacao Community College</t>
  </si>
  <si>
    <t>Humphreys University-Stockton and Modesto Campuses</t>
  </si>
  <si>
    <t>Hunter Business School</t>
  </si>
  <si>
    <t>Huntingdon College</t>
  </si>
  <si>
    <t>Huntingdon County Career and Technology Center</t>
  </si>
  <si>
    <t>Huntington Junior College</t>
  </si>
  <si>
    <t>Huntington School of Beauty Culture</t>
  </si>
  <si>
    <t>Huntington University</t>
  </si>
  <si>
    <t>Huntington University of Health Sciences</t>
  </si>
  <si>
    <t>Huntsville Bible College</t>
  </si>
  <si>
    <t>Hussian College-Daymar College Bowling Green</t>
  </si>
  <si>
    <t>Hussian College-Daymar College Clarksville</t>
  </si>
  <si>
    <t>Hussian College-Daymar College Columbus</t>
  </si>
  <si>
    <t>Hussian College-Daymar College Murfreesboro</t>
  </si>
  <si>
    <t>Hussian College-Daymar College Nashville</t>
  </si>
  <si>
    <t>Hussian College-Los Angeles</t>
  </si>
  <si>
    <t>Hussian College-Philadelphia</t>
  </si>
  <si>
    <t>Husson University</t>
  </si>
  <si>
    <t>Huston-Tillotson University</t>
  </si>
  <si>
    <t>Hutchinson Community College</t>
  </si>
  <si>
    <t>HVAC Technical Institute</t>
  </si>
  <si>
    <t>Hypnosis Motivation Institute</t>
  </si>
  <si>
    <t>IBMC College</t>
  </si>
  <si>
    <t>IBS School of Cosmetology and Massage</t>
  </si>
  <si>
    <t>Icahn School of Medicine at Mount Sinai</t>
  </si>
  <si>
    <t>ICOHS College</t>
  </si>
  <si>
    <t>ICPR Junior College</t>
  </si>
  <si>
    <t>ICPR Junior College-Arecibo</t>
  </si>
  <si>
    <t>ICPR Junior College-Mayaguez</t>
  </si>
  <si>
    <t>Idaho College of Osteopathic Medicine</t>
  </si>
  <si>
    <t>Idaho State University</t>
  </si>
  <si>
    <t>Ideal Beauty Academy</t>
  </si>
  <si>
    <t>IGlobal University</t>
  </si>
  <si>
    <t>Iliff School of Theology</t>
  </si>
  <si>
    <t>Ilisagvik College</t>
  </si>
  <si>
    <t>Illinois Central College</t>
  </si>
  <si>
    <t>Illinois College</t>
  </si>
  <si>
    <t>Illinois College of Optometry</t>
  </si>
  <si>
    <t>Illinois Eastern Community College-System Office</t>
  </si>
  <si>
    <t>Illinois Institute of Technology</t>
  </si>
  <si>
    <t>Illinois Media School</t>
  </si>
  <si>
    <t>Illinois Media School-Chicago Campus</t>
  </si>
  <si>
    <t>Illinois State University</t>
  </si>
  <si>
    <t>Illinois Valley Community College</t>
  </si>
  <si>
    <t>Illinois Wesleyan University</t>
  </si>
  <si>
    <t>Image Maker Beauty Institute</t>
  </si>
  <si>
    <t>Immaculata University</t>
  </si>
  <si>
    <t>Immokalee Technical College</t>
  </si>
  <si>
    <t>Imperial Valley College</t>
  </si>
  <si>
    <t>Independence Community College</t>
  </si>
  <si>
    <t>Independence University</t>
  </si>
  <si>
    <t>Independent Training &amp; Apprenticeship Program</t>
  </si>
  <si>
    <t>Indian Bible College</t>
  </si>
  <si>
    <t>Indian Capital Technology Center-Muskogee</t>
  </si>
  <si>
    <t>Indian Hills Community College</t>
  </si>
  <si>
    <t>Indian River State College</t>
  </si>
  <si>
    <t>Indiana County Technology Center</t>
  </si>
  <si>
    <t>Indiana Institute of Technology</t>
  </si>
  <si>
    <t>Indiana Institute of Technology-College of Professional Studies</t>
  </si>
  <si>
    <t>Indiana State University</t>
  </si>
  <si>
    <t>Indiana University of Pennsylvania-Main Campus</t>
  </si>
  <si>
    <t>Indiana University-Bloomington</t>
  </si>
  <si>
    <t>Indiana University-East</t>
  </si>
  <si>
    <t>Indiana University-Kokomo</t>
  </si>
  <si>
    <t>Indiana University-Northwest</t>
  </si>
  <si>
    <t>Indiana University-Purdue University-Indianapolis</t>
  </si>
  <si>
    <t>Indiana University-South Bend</t>
  </si>
  <si>
    <t>Indiana University-Southeast</t>
  </si>
  <si>
    <t>Indiana Wellness College</t>
  </si>
  <si>
    <t>Indiana Wesleyan University-Marion</t>
  </si>
  <si>
    <t>Indiana Wesleyan University-National &amp; Global</t>
  </si>
  <si>
    <t>Industrial Management Training Institute</t>
  </si>
  <si>
    <t>Industrial Technical College</t>
  </si>
  <si>
    <t>Infinity College</t>
  </si>
  <si>
    <t>Inner State Beauty School</t>
  </si>
  <si>
    <t>Innovate Salon Academy</t>
  </si>
  <si>
    <t>Innovations Design Academy</t>
  </si>
  <si>
    <t>Installer Institute</t>
  </si>
  <si>
    <t>Institucion Chaviano de Mayaguez</t>
  </si>
  <si>
    <t>Institute for Business and Technology</t>
  </si>
  <si>
    <t>Institute for Clinical Social Work</t>
  </si>
  <si>
    <t>Institute for Doctoral Studies in the Visual Arts</t>
  </si>
  <si>
    <t>Institute for Therapeutic Massage</t>
  </si>
  <si>
    <t>Institute of Advanced Medical Esthetics</t>
  </si>
  <si>
    <t>Institute of Allied Healthcare</t>
  </si>
  <si>
    <t>Institute of American Indian and Alaska Native Culture and Arts Development</t>
  </si>
  <si>
    <t>Institute of Beauty Careers</t>
  </si>
  <si>
    <t>Institute of Buddhist Studies</t>
  </si>
  <si>
    <t>Institute of Clinical Acupuncture &amp; Oriental Med</t>
  </si>
  <si>
    <t>Institute of Culinary Education</t>
  </si>
  <si>
    <t>Institute of Health &amp; Technology</t>
  </si>
  <si>
    <t>Institute of Health Sciences</t>
  </si>
  <si>
    <t>Institute of Lutheran Theology</t>
  </si>
  <si>
    <t>Institute of Medical Careers</t>
  </si>
  <si>
    <t>Institute of Medical Ultrasound</t>
  </si>
  <si>
    <t>Institute of Production and Recording</t>
  </si>
  <si>
    <t>Institute of Professional Careers</t>
  </si>
  <si>
    <t>Institute of Taoist Education and Acupuncture</t>
  </si>
  <si>
    <t>Institute of Technology</t>
  </si>
  <si>
    <t>Institute of World Politics</t>
  </si>
  <si>
    <t>Instituto Educativo Premier</t>
  </si>
  <si>
    <t>Instituto Tecnologico de Puerto Rico-Recinto de Guayama</t>
  </si>
  <si>
    <t>Instituto Tecnologico de Puerto Rico-Recinto de Manati</t>
  </si>
  <si>
    <t>Instituto Tecnologico de Puerto Rico-Recinto de Ponce</t>
  </si>
  <si>
    <t>Instituto Tecnologico de Puerto Rico-Recinto de San Juan</t>
  </si>
  <si>
    <t>Integrity College of Health</t>
  </si>
  <si>
    <t>Intellitec College-Colorado Springs</t>
  </si>
  <si>
    <t>Intellitec College-Grand Junction</t>
  </si>
  <si>
    <t>Inter American University of Puerto Rico-Aguadilla</t>
  </si>
  <si>
    <t>Inter American University of Puerto Rico-Arecibo</t>
  </si>
  <si>
    <t>Inter American University of Puerto Rico-Barranquitas</t>
  </si>
  <si>
    <t>Inter American University of Puerto Rico-Bayamon</t>
  </si>
  <si>
    <t>Inter American University of Puerto Rico-Central Office</t>
  </si>
  <si>
    <t>Inter American University of Puerto Rico-Fajardo</t>
  </si>
  <si>
    <t>Inter American University of Puerto Rico-Guayama</t>
  </si>
  <si>
    <t>Inter American University of Puerto Rico-Metro</t>
  </si>
  <si>
    <t>Inter American University of Puerto Rico-Ponce</t>
  </si>
  <si>
    <t>Inter American University of Puerto Rico-San German</t>
  </si>
  <si>
    <t>Inter American University of Puerto Rico-School of Law</t>
  </si>
  <si>
    <t>Inter American University of Puerto Rico-School of Optometry</t>
  </si>
  <si>
    <t>Interactive College of Technology</t>
  </si>
  <si>
    <t>Interactive College of Technology-Chamblee</t>
  </si>
  <si>
    <t>Interactive College of Technology-Gainesville</t>
  </si>
  <si>
    <t>Interactive College of Technology-Morrow</t>
  </si>
  <si>
    <t>Interactive College of Technology-Newport</t>
  </si>
  <si>
    <t>InterAmerican Technical Institute</t>
  </si>
  <si>
    <t>InterCoast Colleges-Fairfield</t>
  </si>
  <si>
    <t>InterCoast Colleges-Rancho Cordova</t>
  </si>
  <si>
    <t>InterCoast Colleges-Riverside</t>
  </si>
  <si>
    <t>InterCoast Colleges-Santa Ana</t>
  </si>
  <si>
    <t>InterCoast Colleges-West Covina</t>
  </si>
  <si>
    <t>Interdenominational Theological Center</t>
  </si>
  <si>
    <t>Interior Designers Institute</t>
  </si>
  <si>
    <t>International Academy</t>
  </si>
  <si>
    <t>International Academy of Style</t>
  </si>
  <si>
    <t>International Air and Hospitality Academy</t>
  </si>
  <si>
    <t>International Baptist College and Seminary</t>
  </si>
  <si>
    <t>International Barber College</t>
  </si>
  <si>
    <t>International Beauty College</t>
  </si>
  <si>
    <t>International Beauty Education Center</t>
  </si>
  <si>
    <t>International Beauty School 4</t>
  </si>
  <si>
    <t>International Business College-Indianapolis</t>
  </si>
  <si>
    <t>International College of Beauty Arts &amp; Sciences</t>
  </si>
  <si>
    <t>International College of Broadcasting</t>
  </si>
  <si>
    <t>International College of Cosmetology</t>
  </si>
  <si>
    <t>International Culinary Arts and Sciences Institute</t>
  </si>
  <si>
    <t>International Diving Institute</t>
  </si>
  <si>
    <t>International Institute for Restorative Practices</t>
  </si>
  <si>
    <t>International Institute of Cosmetology</t>
  </si>
  <si>
    <t>International Salon and Spa Academy</t>
  </si>
  <si>
    <t>International School of Beauty Inc</t>
  </si>
  <si>
    <t>International School of Cosmetology</t>
  </si>
  <si>
    <t>International School of Skin Nailcare &amp; Massage Therapy</t>
  </si>
  <si>
    <t>International Technical College</t>
  </si>
  <si>
    <t>International Technological University</t>
  </si>
  <si>
    <t>International Training Careers</t>
  </si>
  <si>
    <t>Inver Hills Community College</t>
  </si>
  <si>
    <t>Iona College</t>
  </si>
  <si>
    <t>Iowa Central Community College</t>
  </si>
  <si>
    <t>Iowa Lakes Community College</t>
  </si>
  <si>
    <t>Iowa School of Beauty-Des Moines</t>
  </si>
  <si>
    <t>Iowa School of Beauty-Ottumwa</t>
  </si>
  <si>
    <t>Iowa School of Beauty-Sioux City</t>
  </si>
  <si>
    <t>Iowa State University</t>
  </si>
  <si>
    <t>Iowa Wesleyan University</t>
  </si>
  <si>
    <t>Iowa Western Community College</t>
  </si>
  <si>
    <t>Irell &amp; Manella Graduate School of Biological Sciences at City of Hope</t>
  </si>
  <si>
    <t>Irene's Myomassology Institute</t>
  </si>
  <si>
    <t>Irvine Valley College</t>
  </si>
  <si>
    <t>Isabella Graham Hart School of Practical Nursing</t>
  </si>
  <si>
    <t>Island Drafting and Technical Institute</t>
  </si>
  <si>
    <t>Isothermal Community College</t>
  </si>
  <si>
    <t>Itasca Community College</t>
  </si>
  <si>
    <t>Itawamba Community College</t>
  </si>
  <si>
    <t>Ithaca College</t>
  </si>
  <si>
    <t>ITI Technical College</t>
  </si>
  <si>
    <t>IVAEM College</t>
  </si>
  <si>
    <t>Ivy Tech Community College</t>
  </si>
  <si>
    <t>IYRS School of Technology &amp; Trades</t>
  </si>
  <si>
    <t>J D Academy of Salon and Spa</t>
  </si>
  <si>
    <t>J F Ingram State Technical College</t>
  </si>
  <si>
    <t>J Michael Harrold Beauty Academy</t>
  </si>
  <si>
    <t>J Sargeant Reynolds Community College</t>
  </si>
  <si>
    <t>J. F. Drake State Community and Technical College</t>
  </si>
  <si>
    <t>Jackson College</t>
  </si>
  <si>
    <t>Jackson State Community College</t>
  </si>
  <si>
    <t>Jackson State University</t>
  </si>
  <si>
    <t>Jacksonville College-Main Campus</t>
  </si>
  <si>
    <t>Jacksonville State University</t>
  </si>
  <si>
    <t>Jacksonville University</t>
  </si>
  <si>
    <t>James A. Rhodes State College</t>
  </si>
  <si>
    <t>James Madison University</t>
  </si>
  <si>
    <t>James Rumsey Technical Institute</t>
  </si>
  <si>
    <t>James Sprunt Community College</t>
  </si>
  <si>
    <t>Jamestown Business College</t>
  </si>
  <si>
    <t>Jamestown Community College</t>
  </si>
  <si>
    <t>Jarvis Christian University</t>
  </si>
  <si>
    <t>Jay's Technical Institute</t>
  </si>
  <si>
    <t>JB's Hair Design and Barber College</t>
  </si>
  <si>
    <t>Jean Madeline Aveda Institute</t>
  </si>
  <si>
    <t>Jefferson College</t>
  </si>
  <si>
    <t>Jefferson Community and Technical College</t>
  </si>
  <si>
    <t>Jefferson Community College</t>
  </si>
  <si>
    <t>Jefferson County Dubois Area Vocational Technical Practical Nursing Program</t>
  </si>
  <si>
    <t>Jefferson Lewis BOCES-Practical Nursing Program</t>
  </si>
  <si>
    <t>Jefferson Regional Medical Center School of Nursing</t>
  </si>
  <si>
    <t>Jefferson State Community College</t>
  </si>
  <si>
    <t>Jenks Beauty College</t>
  </si>
  <si>
    <t>Jenny Lea Academy of Cosmetology</t>
  </si>
  <si>
    <t>Jersey College</t>
  </si>
  <si>
    <t>Jewish Theological Seminary of America</t>
  </si>
  <si>
    <t>JFK Muhlenberg Harold B. and Dorothy A. Snyder Schools</t>
  </si>
  <si>
    <t>Jna Institute of Culinary Arts</t>
  </si>
  <si>
    <t>Joe Kubert School of Cartoon and Graphic Art</t>
  </si>
  <si>
    <t>Joffrey Ballet School</t>
  </si>
  <si>
    <t>John A Gupton College</t>
  </si>
  <si>
    <t>John A Logan College</t>
  </si>
  <si>
    <t>John Amico School of Hair Design</t>
  </si>
  <si>
    <t>John Brown University</t>
  </si>
  <si>
    <t>John C Calhoun State Community College</t>
  </si>
  <si>
    <t>John Carroll University</t>
  </si>
  <si>
    <t>John D Rockefeller IV Career Center</t>
  </si>
  <si>
    <t>John Jay Beauty College</t>
  </si>
  <si>
    <t>John Paolo's Xtreme Beauty Institute-Goldwell Product Artistry</t>
  </si>
  <si>
    <t>John Patrick University of Health and Applied Sciences</t>
  </si>
  <si>
    <t>John Paul the Great Catholic University</t>
  </si>
  <si>
    <t>John Wesley International Barber and Beauty College</t>
  </si>
  <si>
    <t>John Wood Community College</t>
  </si>
  <si>
    <t>Johnny Matthew's Hairdressing Training School</t>
  </si>
  <si>
    <t>Johns Hopkins University</t>
  </si>
  <si>
    <t>Johnson &amp; Wales University-Charlotte</t>
  </si>
  <si>
    <t>Johnson &amp; Wales University-Denver</t>
  </si>
  <si>
    <t>Johnson &amp; Wales University-North Miami</t>
  </si>
  <si>
    <t>Johnson &amp; Wales University-Online</t>
  </si>
  <si>
    <t>Johnson &amp; Wales University-Providence</t>
  </si>
  <si>
    <t>Johnson C Smith University</t>
  </si>
  <si>
    <t>Johnson College</t>
  </si>
  <si>
    <t>Johnson County Community College</t>
  </si>
  <si>
    <t>Johnson University</t>
  </si>
  <si>
    <t>Johnson University Florida</t>
  </si>
  <si>
    <t>Johnston Community College</t>
  </si>
  <si>
    <t>Jolie Hair Academy</t>
  </si>
  <si>
    <t>Jolie Hair and Beauty Academy-Hazleton</t>
  </si>
  <si>
    <t>Jolie Hair and Beauty Academy-Ludlow</t>
  </si>
  <si>
    <t>Jolie Hair and Beauty Academy-Northfield</t>
  </si>
  <si>
    <t>Jolie Hair and Beauty Academy-Wilkes-Barre</t>
  </si>
  <si>
    <t>Jolie Health &amp; Beauty Academy-Cherry Hill</t>
  </si>
  <si>
    <t>Jolie Health and Beauty Academy-Turnersville</t>
  </si>
  <si>
    <t>Joliet Junior College</t>
  </si>
  <si>
    <t>Jones County Junior College</t>
  </si>
  <si>
    <t>Jones Technical Institute</t>
  </si>
  <si>
    <t>Jose Maria Vargas University</t>
  </si>
  <si>
    <t>Josef's School of Hair, Skin &amp; Body-Fargo</t>
  </si>
  <si>
    <t>Josef's School of Hair, Skin &amp; Body-Grand Forks</t>
  </si>
  <si>
    <t>Joseph F McCloskey School of Nursing</t>
  </si>
  <si>
    <t>Joseph's College Cosmetology</t>
  </si>
  <si>
    <t>J's Barber College</t>
  </si>
  <si>
    <t>Judson College</t>
  </si>
  <si>
    <t>Judson University</t>
  </si>
  <si>
    <t>Jung Tao School of Classical Chinese Medicine</t>
  </si>
  <si>
    <t>Juniata College</t>
  </si>
  <si>
    <t>Jupiter Beauty Academy</t>
  </si>
  <si>
    <t>K &amp; G 5 Star Barber College</t>
  </si>
  <si>
    <t>Kaizen Beauty Academy</t>
  </si>
  <si>
    <t>Kalamazoo College</t>
  </si>
  <si>
    <t>Kalamazoo Valley Community College</t>
  </si>
  <si>
    <t>Kankakee Community College</t>
  </si>
  <si>
    <t>Kansas Christian College</t>
  </si>
  <si>
    <t>Kansas City Art Institute</t>
  </si>
  <si>
    <t>Kansas City Kansas Community College</t>
  </si>
  <si>
    <t>Kansas City University</t>
  </si>
  <si>
    <t>Kansas State University</t>
  </si>
  <si>
    <t>Kansas Wesleyan University</t>
  </si>
  <si>
    <t>Kapiolani Community College</t>
  </si>
  <si>
    <t>Kaskaskia College</t>
  </si>
  <si>
    <t>Kauai Community College</t>
  </si>
  <si>
    <t>KC Beauty Academy</t>
  </si>
  <si>
    <t>KCK Beauty &amp; Barber Academy</t>
  </si>
  <si>
    <t>KC's School of Hair Design</t>
  </si>
  <si>
    <t>KD Conservatory College of Film and Dramatic Arts</t>
  </si>
  <si>
    <t>Kean University</t>
  </si>
  <si>
    <t>Keck Graduate Institute</t>
  </si>
  <si>
    <t>Keene Beauty Academy</t>
  </si>
  <si>
    <t>Keene State College</t>
  </si>
  <si>
    <t>Kehilath Yakov Rabbinical Seminary</t>
  </si>
  <si>
    <t>Keiser University-Ft Lauderdale</t>
  </si>
  <si>
    <t>Kellogg Community College</t>
  </si>
  <si>
    <t>Kennebec Valley Community College</t>
  </si>
  <si>
    <t>Kennesaw State University</t>
  </si>
  <si>
    <t>Kenneth Shuler School of Cosmetology and Nails-Columbia</t>
  </si>
  <si>
    <t>Kenneth Shuler School of Cosmetology-Columbia</t>
  </si>
  <si>
    <t>Kenneth Shuler School of Cosmetology-Florence</t>
  </si>
  <si>
    <t>Kenneth Shuler School of Cosmetology-Goose Creek</t>
  </si>
  <si>
    <t>Kenneth Shuler School of Cosmetology-Greenville</t>
  </si>
  <si>
    <t>Kenneth Shuler School of Cosmetology-North Augusta</t>
  </si>
  <si>
    <t>Kenneth Shuler School of Cosmetology-Rock Hill</t>
  </si>
  <si>
    <t>Kenneth Shuler School of Cosmetology-Spartanburg</t>
  </si>
  <si>
    <t>Kenny's Academy of Barbering</t>
  </si>
  <si>
    <t>Kenny's Beauty Academy</t>
  </si>
  <si>
    <t>Kenrick Glennon Seminary</t>
  </si>
  <si>
    <t>Kent State University at Ashtabula</t>
  </si>
  <si>
    <t>Kent State University at East Liverpool</t>
  </si>
  <si>
    <t>Kent State University at Geauga</t>
  </si>
  <si>
    <t>Kent State University at Kent</t>
  </si>
  <si>
    <t>Kent State University at Salem</t>
  </si>
  <si>
    <t>Kent State University at Stark</t>
  </si>
  <si>
    <t>Kent State University at Trumbull</t>
  </si>
  <si>
    <t>Kent State University at Tuscarawas</t>
  </si>
  <si>
    <t>Kentucky Christian University</t>
  </si>
  <si>
    <t>Kentucky Community and Technical College System</t>
  </si>
  <si>
    <t>Kentucky Horseshoeing School</t>
  </si>
  <si>
    <t>Kentucky Mountain Bible College</t>
  </si>
  <si>
    <t>Kentucky State University</t>
  </si>
  <si>
    <t>Kentucky Wesleyan College</t>
  </si>
  <si>
    <t>Kenyon College</t>
  </si>
  <si>
    <t>Keser Torah-Mayan Hatalmud</t>
  </si>
  <si>
    <t>Kettering College</t>
  </si>
  <si>
    <t>Kettering University</t>
  </si>
  <si>
    <t>Keuka College</t>
  </si>
  <si>
    <t>Keune Academy by 124</t>
  </si>
  <si>
    <t>Keweenaw Bay Ojibwa Community College</t>
  </si>
  <si>
    <t>Key College</t>
  </si>
  <si>
    <t>Keystone College</t>
  </si>
  <si>
    <t>Kiamichi Technology Center-McAlester</t>
  </si>
  <si>
    <t>Kilgore College</t>
  </si>
  <si>
    <t>King University</t>
  </si>
  <si>
    <t>King's College</t>
  </si>
  <si>
    <t>Kirksville Area Technical Center</t>
  </si>
  <si>
    <t>Kirkwood Community College</t>
  </si>
  <si>
    <t>Kirtland Community College</t>
  </si>
  <si>
    <t>Kishwaukee College</t>
  </si>
  <si>
    <t>Klamath Community College</t>
  </si>
  <si>
    <t>Knox College</t>
  </si>
  <si>
    <t>Knox County Career Center</t>
  </si>
  <si>
    <t>Kor Beauty Academy</t>
  </si>
  <si>
    <t>Kutztown University of Pennsylvania</t>
  </si>
  <si>
    <t>Kuyper College</t>
  </si>
  <si>
    <t>L Makeup Institute</t>
  </si>
  <si>
    <t>L3Harris Flight Academy</t>
  </si>
  <si>
    <t>La Belle Beauty Academy</t>
  </si>
  <si>
    <t>La Belle Beauty School</t>
  </si>
  <si>
    <t>La James College of Hairstyling and Cosmetology</t>
  </si>
  <si>
    <t>La James International College-Cedar Falls</t>
  </si>
  <si>
    <t>La James International College-Davenport</t>
  </si>
  <si>
    <t>La James International College-Ft Dodge</t>
  </si>
  <si>
    <t>La James International College-Iowa City</t>
  </si>
  <si>
    <t>La James International College-Johnston</t>
  </si>
  <si>
    <t>La Roche University</t>
  </si>
  <si>
    <t>La Salle University</t>
  </si>
  <si>
    <t>La Sierra University</t>
  </si>
  <si>
    <t>LaBarberia Institute of Hair</t>
  </si>
  <si>
    <t>Labette Community College</t>
  </si>
  <si>
    <t>Laboure College</t>
  </si>
  <si>
    <t>Lac Courte Oreilles Ojibwe College</t>
  </si>
  <si>
    <t>Lackawanna College</t>
  </si>
  <si>
    <t>Lafayette College</t>
  </si>
  <si>
    <t>LaGrange College</t>
  </si>
  <si>
    <t>Laguna College of Art and Design</t>
  </si>
  <si>
    <t>Lake Area Technical College</t>
  </si>
  <si>
    <t>Lake Career and Technical Center</t>
  </si>
  <si>
    <t>Lake Erie College</t>
  </si>
  <si>
    <t>Lake Erie College of Osteopathic Medicine</t>
  </si>
  <si>
    <t>Lake Forest College</t>
  </si>
  <si>
    <t>Lake Forest Graduate School of Management</t>
  </si>
  <si>
    <t>Lake Land College</t>
  </si>
  <si>
    <t>Lake Michigan College</t>
  </si>
  <si>
    <t>Lake Region State College</t>
  </si>
  <si>
    <t>Lake Superior College</t>
  </si>
  <si>
    <t>Lake Superior State University</t>
  </si>
  <si>
    <t>Lake Tahoe Community College</t>
  </si>
  <si>
    <t>Lake Technical College</t>
  </si>
  <si>
    <t>Lake Washington Institute of Technology</t>
  </si>
  <si>
    <t>Lakeland Community College</t>
  </si>
  <si>
    <t>Lakeland University</t>
  </si>
  <si>
    <t>Lakes Region Community College</t>
  </si>
  <si>
    <t>Lakeshore Technical College</t>
  </si>
  <si>
    <t>Lake-Sumter State College</t>
  </si>
  <si>
    <t>Lakeview College of Nursing</t>
  </si>
  <si>
    <t>Lakewood School of Therapeutic Massage</t>
  </si>
  <si>
    <t>Lakewood University</t>
  </si>
  <si>
    <t>Lamar Community College</t>
  </si>
  <si>
    <t>Lamar Institute of Technology</t>
  </si>
  <si>
    <t>Lamar State College-Orange</t>
  </si>
  <si>
    <t>Lamar State College-Port Arthur</t>
  </si>
  <si>
    <t>Lamar University</t>
  </si>
  <si>
    <t>Lamson Institute</t>
  </si>
  <si>
    <t>Lancaster Beauty School</t>
  </si>
  <si>
    <t>Lancaster Bible College</t>
  </si>
  <si>
    <t>Lancaster County Career and Technology Center</t>
  </si>
  <si>
    <t>Lancaster School of Cosmetology &amp; Therapeutic Bodywork</t>
  </si>
  <si>
    <t>Lancaster Theological Seminary</t>
  </si>
  <si>
    <t>Lander University</t>
  </si>
  <si>
    <t>Landmark College</t>
  </si>
  <si>
    <t>Lane College</t>
  </si>
  <si>
    <t>Lane Community College</t>
  </si>
  <si>
    <t>Laney College</t>
  </si>
  <si>
    <t>Langston University</t>
  </si>
  <si>
    <t>Lanier Technical College</t>
  </si>
  <si>
    <t>Lansdale School of Business</t>
  </si>
  <si>
    <t>Lansdale School of Cosmetology Inc</t>
  </si>
  <si>
    <t>Lansing Community College</t>
  </si>
  <si>
    <t>Laramie County Community College</t>
  </si>
  <si>
    <t>Laredo Beauty College Inc</t>
  </si>
  <si>
    <t>Laredo CHI Academy Beauty School</t>
  </si>
  <si>
    <t>Laredo College</t>
  </si>
  <si>
    <t>Larry's Barber College</t>
  </si>
  <si>
    <t>Larry's Barber College-Joliet</t>
  </si>
  <si>
    <t>Las Positas College</t>
  </si>
  <si>
    <t>Las Vegas College</t>
  </si>
  <si>
    <t>LaSalle Tech</t>
  </si>
  <si>
    <t>Lasell University</t>
  </si>
  <si>
    <t>Lassen Community College</t>
  </si>
  <si>
    <t>Latin American Bible Institute</t>
  </si>
  <si>
    <t>Latin Beauty Academy</t>
  </si>
  <si>
    <t>Laurel Business Institute</t>
  </si>
  <si>
    <t>Laurel Ridge Community College</t>
  </si>
  <si>
    <t>Laurel Technical Institute</t>
  </si>
  <si>
    <t>Laurus College</t>
  </si>
  <si>
    <t>Lawrence &amp; Company College of Cosmetology</t>
  </si>
  <si>
    <t>Lawrence Memorial Hospital School of Nursing</t>
  </si>
  <si>
    <t>Lawrence Technological University</t>
  </si>
  <si>
    <t>Lawrence University</t>
  </si>
  <si>
    <t>Lawson State Community College</t>
  </si>
  <si>
    <t>Le Moyne College</t>
  </si>
  <si>
    <t>Le Moyne-Owen College</t>
  </si>
  <si>
    <t>Learnet Academy Inc</t>
  </si>
  <si>
    <t>Learning Bridge Career Institute</t>
  </si>
  <si>
    <t>Lebanon College of Cosmetology</t>
  </si>
  <si>
    <t>Lebanon County Area Vocational Technical School</t>
  </si>
  <si>
    <t>Lebanon Valley College</t>
  </si>
  <si>
    <t>Lee College</t>
  </si>
  <si>
    <t>Lee Professional Institute</t>
  </si>
  <si>
    <t>Lee University</t>
  </si>
  <si>
    <t>Leech Lake Tribal College</t>
  </si>
  <si>
    <t>Lees-McRae College</t>
  </si>
  <si>
    <t>Leeward Community College</t>
  </si>
  <si>
    <t>LeGrand Institute of Cosmetology Inc</t>
  </si>
  <si>
    <t>Lehigh Carbon Community College</t>
  </si>
  <si>
    <t>Lehigh University</t>
  </si>
  <si>
    <t>Lehigh Valley Barber School</t>
  </si>
  <si>
    <t>Lenape Technical School Practical Nursing Program</t>
  </si>
  <si>
    <t>Lenoir Community College</t>
  </si>
  <si>
    <t>Lenoir-Rhyne University</t>
  </si>
  <si>
    <t>Leon Studio One School of Beauty Knowledge</t>
  </si>
  <si>
    <t>Leons Beauty School Inc</t>
  </si>
  <si>
    <t>Lesley University</t>
  </si>
  <si>
    <t>L'esprit Academy</t>
  </si>
  <si>
    <t>Leston College</t>
  </si>
  <si>
    <t>LeTourneau University</t>
  </si>
  <si>
    <t>Levittown Beauty Academy</t>
  </si>
  <si>
    <t>Lewis &amp; Clark College</t>
  </si>
  <si>
    <t>Lewis and Clark Community College</t>
  </si>
  <si>
    <t>Lewis University</t>
  </si>
  <si>
    <t>Lewis-Clark State College</t>
  </si>
  <si>
    <t>Lex La-Ray Technical Center</t>
  </si>
  <si>
    <t>Lexington Healing Arts Academy</t>
  </si>
  <si>
    <t>Lexington Theological Seminary</t>
  </si>
  <si>
    <t>Lia Schorr Institute of Cosmetic Skin Care Training</t>
  </si>
  <si>
    <t>Liberty Junior College</t>
  </si>
  <si>
    <t>Liberty University</t>
  </si>
  <si>
    <t>Liceo de Arte y Tecnologia</t>
  </si>
  <si>
    <t>Liceo de Arte-Dise-O y Comercio</t>
  </si>
  <si>
    <t>Life Chiropractic College West</t>
  </si>
  <si>
    <t>Life Pacific University</t>
  </si>
  <si>
    <t>Life University</t>
  </si>
  <si>
    <t>Lil Lou's Beauty and Barber College</t>
  </si>
  <si>
    <t>Lil Lou's Beauty and Barber College-Hammond</t>
  </si>
  <si>
    <t>LIM College</t>
  </si>
  <si>
    <t>Limestone University</t>
  </si>
  <si>
    <t>Lincoln Christian University</t>
  </si>
  <si>
    <t>Lincoln College</t>
  </si>
  <si>
    <t>Lincoln College of Technology-Columbia</t>
  </si>
  <si>
    <t>Lincoln College of Technology-Denver</t>
  </si>
  <si>
    <t>Lincoln College of Technology-Grand Prairie</t>
  </si>
  <si>
    <t>Lincoln College of Technology-Indianapolis</t>
  </si>
  <si>
    <t>Lincoln College of Technology-Marietta</t>
  </si>
  <si>
    <t>Lincoln College of Technology-Melrose Park</t>
  </si>
  <si>
    <t>Lincoln College of Technology-Nashville</t>
  </si>
  <si>
    <t>Lincoln Land Community College</t>
  </si>
  <si>
    <t>Lincoln Memorial University</t>
  </si>
  <si>
    <t>Lincoln Technical Institute-Allentown</t>
  </si>
  <si>
    <t>Lincoln Technical Institute-East Windsor</t>
  </si>
  <si>
    <t>Lincoln Technical Institute-Iselin</t>
  </si>
  <si>
    <t>Lincoln Technical Institute-Lincoln</t>
  </si>
  <si>
    <t>Lincoln Technical Institute-Mahwah</t>
  </si>
  <si>
    <t>Lincoln Technical Institute-Moorestown</t>
  </si>
  <si>
    <t>Lincoln Technical Institute-New Britain</t>
  </si>
  <si>
    <t>Lincoln Technical Institute-Paramus</t>
  </si>
  <si>
    <t>Lincoln Technical Institute-Philadelphia</t>
  </si>
  <si>
    <t>Lincoln Technical Institute-Shelton</t>
  </si>
  <si>
    <t>Lincoln Technical Institute-Somerville</t>
  </si>
  <si>
    <t>Lincoln Technical Institute-South Plainfield</t>
  </si>
  <si>
    <t>Lincoln Technical Institute-Union</t>
  </si>
  <si>
    <t>Lincoln Technical Institute-Whitestone</t>
  </si>
  <si>
    <t>Lincoln Trail College</t>
  </si>
  <si>
    <t>Lincoln University</t>
  </si>
  <si>
    <t>Lindenwood University</t>
  </si>
  <si>
    <t>Lindsey Hopkins Technical College</t>
  </si>
  <si>
    <t>Lindsey Institute of Cosmetology</t>
  </si>
  <si>
    <t>Lindsey Wilson College</t>
  </si>
  <si>
    <t>Linfield University-McMinnville Campus</t>
  </si>
  <si>
    <t>Linfield University-Online and Continuing Education</t>
  </si>
  <si>
    <t>Linfield University-School of Nursing</t>
  </si>
  <si>
    <t>Linn-Benton Community College</t>
  </si>
  <si>
    <t>Lionel University</t>
  </si>
  <si>
    <t>Lipscomb University</t>
  </si>
  <si>
    <t>Little Big Horn College</t>
  </si>
  <si>
    <t>Little Priest Tribal College</t>
  </si>
  <si>
    <t>Lively Technical College</t>
  </si>
  <si>
    <t>Living Arts College</t>
  </si>
  <si>
    <t>Livingstone College</t>
  </si>
  <si>
    <t>Lock Haven University</t>
  </si>
  <si>
    <t>Logan University</t>
  </si>
  <si>
    <t>Loma Linda University</t>
  </si>
  <si>
    <t>Lone Star College System</t>
  </si>
  <si>
    <t>Long Beach City College</t>
  </si>
  <si>
    <t>Long Island Beauty School-Hauppauge</t>
  </si>
  <si>
    <t>Long Island Beauty School-Hempstead</t>
  </si>
  <si>
    <t>Long Island Business Institute</t>
  </si>
  <si>
    <t>Long Island Nail Skin &amp; Hair Institute</t>
  </si>
  <si>
    <t>Long Island University</t>
  </si>
  <si>
    <t>Longwood University</t>
  </si>
  <si>
    <t>Longy School of Music of Bard College</t>
  </si>
  <si>
    <t>Lorain County Community College</t>
  </si>
  <si>
    <t>Lorain County Joint Vocational School District</t>
  </si>
  <si>
    <t>Loraines Academy &amp; Spa</t>
  </si>
  <si>
    <t>Loras College</t>
  </si>
  <si>
    <t>Lorenzo Walker Technical College</t>
  </si>
  <si>
    <t>Los Angeles Academy of Figurative Art</t>
  </si>
  <si>
    <t>Los Angeles City College</t>
  </si>
  <si>
    <t>Los Angeles College of Music</t>
  </si>
  <si>
    <t>Los Angeles Community College District Office</t>
  </si>
  <si>
    <t>Los Angeles County College of Nursing and Allied Health</t>
  </si>
  <si>
    <t>Los Angeles Film School</t>
  </si>
  <si>
    <t>Los Angeles Harbor College</t>
  </si>
  <si>
    <t>Los Angeles Mission College</t>
  </si>
  <si>
    <t>Los Angeles Pacific College</t>
  </si>
  <si>
    <t>Los Angeles Pacific University</t>
  </si>
  <si>
    <t>Los Angeles Pierce College</t>
  </si>
  <si>
    <t>Los Angeles Southwest College</t>
  </si>
  <si>
    <t>Los Angeles Trade Technical College</t>
  </si>
  <si>
    <t>Los Angeles Valley College</t>
  </si>
  <si>
    <t>Los Medanos College</t>
  </si>
  <si>
    <t>Los Rios Community College District Office</t>
  </si>
  <si>
    <t>Lotus Professional College</t>
  </si>
  <si>
    <t>Louisburg College</t>
  </si>
  <si>
    <t>Louisiana Academy of Beauty</t>
  </si>
  <si>
    <t>Louisiana College</t>
  </si>
  <si>
    <t>Louisiana Culinary Institute</t>
  </si>
  <si>
    <t>Louisiana Delta Community College</t>
  </si>
  <si>
    <t>Louisiana State University and Agricultural &amp; Mechanical College</t>
  </si>
  <si>
    <t>Louisiana State University Health Sciences Center-New Orleans</t>
  </si>
  <si>
    <t>Louisiana State University Health Sciences Center-Shreveport</t>
  </si>
  <si>
    <t>Louisiana State University-Alexandria</t>
  </si>
  <si>
    <t>Louisiana State University-Eunice</t>
  </si>
  <si>
    <t>Louisiana State University-Shreveport</t>
  </si>
  <si>
    <t>Louisiana Tech University</t>
  </si>
  <si>
    <t>Louisville Presbyterian Theological Seminary</t>
  </si>
  <si>
    <t>Lourdes University</t>
  </si>
  <si>
    <t>Love Beauty School Inc</t>
  </si>
  <si>
    <t>Lowell Academy Hairstyling Institute</t>
  </si>
  <si>
    <t>Lower Columbia College</t>
  </si>
  <si>
    <t>Loyola Marymount University</t>
  </si>
  <si>
    <t>Loyola University Chicago</t>
  </si>
  <si>
    <t>Loyola University Maryland</t>
  </si>
  <si>
    <t>Loyola University New Orleans</t>
  </si>
  <si>
    <t>Lu Ross Academy</t>
  </si>
  <si>
    <t>Lubbock Christian University</t>
  </si>
  <si>
    <t>Luckes Beauty Academy LLC</t>
  </si>
  <si>
    <t>Luna Community College</t>
  </si>
  <si>
    <t>Lurleen B Wallace Community College</t>
  </si>
  <si>
    <t>Luther College</t>
  </si>
  <si>
    <t>Luther Rice College &amp; Seminary</t>
  </si>
  <si>
    <t>Luther Seminary</t>
  </si>
  <si>
    <t>Lutheran School of Nursing</t>
  </si>
  <si>
    <t>Lutheran School of Theology at Chicago</t>
  </si>
  <si>
    <t>Luzerne County Community College</t>
  </si>
  <si>
    <t>Lycoming College</t>
  </si>
  <si>
    <t>Lyle's College of  Beauty</t>
  </si>
  <si>
    <t>Lyle's College of Beauty</t>
  </si>
  <si>
    <t>Lynn University</t>
  </si>
  <si>
    <t>Lynnes Welding Training</t>
  </si>
  <si>
    <t>Lynnes Welding Training-Bismarck</t>
  </si>
  <si>
    <t>Lyon College</t>
  </si>
  <si>
    <t>Lytles Redwood Empire Beauty College</t>
  </si>
  <si>
    <t>M J Murphy Beauty College of Mount Pleasant</t>
  </si>
  <si>
    <t>M T Training Center</t>
  </si>
  <si>
    <t>Macalester College</t>
  </si>
  <si>
    <t>MacCormac College</t>
  </si>
  <si>
    <t>Machzikei Hadath Rabbinical College</t>
  </si>
  <si>
    <t>Macomb Community College</t>
  </si>
  <si>
    <t>Madera Community College</t>
  </si>
  <si>
    <t>Madison Adult Career Center</t>
  </si>
  <si>
    <t>Madison Area Technical College</t>
  </si>
  <si>
    <t>Madison Oneida BOCES-Practical Nursing Program</t>
  </si>
  <si>
    <t>Madisonville Community College</t>
  </si>
  <si>
    <t>Madonna University</t>
  </si>
  <si>
    <t>Magdalen College</t>
  </si>
  <si>
    <t>Magnolia College of Cosmetology</t>
  </si>
  <si>
    <t>Maharishi International University</t>
  </si>
  <si>
    <t>Mahoning County Career and Technical Center</t>
  </si>
  <si>
    <t>Maine College of Art &amp; Design</t>
  </si>
  <si>
    <t>Maine College of Health Professions</t>
  </si>
  <si>
    <t>Maine Maritime Academy</t>
  </si>
  <si>
    <t>Maine Media College</t>
  </si>
  <si>
    <t>MAK Beauty Institute</t>
  </si>
  <si>
    <t>Makana Esthetics Wellness Academy</t>
  </si>
  <si>
    <t>Make-up Designory</t>
  </si>
  <si>
    <t>Malone University</t>
  </si>
  <si>
    <t>Manatee Technical College</t>
  </si>
  <si>
    <t>Manchester Community College</t>
  </si>
  <si>
    <t>Manchester University</t>
  </si>
  <si>
    <t>Mandalyn Academy</t>
  </si>
  <si>
    <t>Mandl School-The College of Allied Health</t>
  </si>
  <si>
    <t>Manhattan Area Technical College</t>
  </si>
  <si>
    <t>Manhattan Christian College</t>
  </si>
  <si>
    <t>Manhattan College</t>
  </si>
  <si>
    <t>Manhattan School of Computer Technology</t>
  </si>
  <si>
    <t>Manhattan School of Music</t>
  </si>
  <si>
    <t>Manhattanville College</t>
  </si>
  <si>
    <t>Manna University</t>
  </si>
  <si>
    <t>Manor College</t>
  </si>
  <si>
    <t>Mansfield University of Pennsylvania</t>
  </si>
  <si>
    <t>Manuel and Theresa's School of Hair Design</t>
  </si>
  <si>
    <t>Manuel and Theresa's School of Hair Design-Bryan</t>
  </si>
  <si>
    <t>Manuel and Theresa's School of Hair Design-Victoria</t>
  </si>
  <si>
    <t>Maple Springs Baptist Bible College and Seminary</t>
  </si>
  <si>
    <t>Maranatha Baptist University</t>
  </si>
  <si>
    <t>Margaret H Rollins School of Nursing at Beebe Medical Center</t>
  </si>
  <si>
    <t>Maria College of Albany</t>
  </si>
  <si>
    <t>Marian Health Careers Center-Los Angeles Campus</t>
  </si>
  <si>
    <t>Marian Health Careers Center-Van Nuys Campus</t>
  </si>
  <si>
    <t>Marian University</t>
  </si>
  <si>
    <t>Mariano Moreno Culinary Institute</t>
  </si>
  <si>
    <t>Maricopa Community College System Office</t>
  </si>
  <si>
    <t>Marietta College</t>
  </si>
  <si>
    <t>Marion Military Institute</t>
  </si>
  <si>
    <t>Marion S Whelan School of Nursing of Geneva General Hospital</t>
  </si>
  <si>
    <t>Marion Technical College</t>
  </si>
  <si>
    <t>Marist College</t>
  </si>
  <si>
    <t>Marketti Academy of Cosmetology</t>
  </si>
  <si>
    <t>Marquette University</t>
  </si>
  <si>
    <t>Mars Hill University</t>
  </si>
  <si>
    <t>Marshall B Ketchum University</t>
  </si>
  <si>
    <t>Marshall University</t>
  </si>
  <si>
    <t>Marshalltown Community College</t>
  </si>
  <si>
    <t>Martin Community College</t>
  </si>
  <si>
    <t>Martin Luther College</t>
  </si>
  <si>
    <t>Martin University</t>
  </si>
  <si>
    <t>Martinsburg College</t>
  </si>
  <si>
    <t>Mary Baldwin University</t>
  </si>
  <si>
    <t>Maryland Beauty Academy of Essex</t>
  </si>
  <si>
    <t>Maryland Institute College of Art</t>
  </si>
  <si>
    <t>Maryland University of Integrative Health</t>
  </si>
  <si>
    <t>Marymount California University</t>
  </si>
  <si>
    <t>Marymount Manhattan College</t>
  </si>
  <si>
    <t>Marymount University</t>
  </si>
  <si>
    <t>Maryville College</t>
  </si>
  <si>
    <t>Maryville University of Saint Louis</t>
  </si>
  <si>
    <t>Marywood University</t>
  </si>
  <si>
    <t>Mason Anthony School of Cosmetology Arts &amp; Sciences</t>
  </si>
  <si>
    <t>Massachusetts Bay Community College</t>
  </si>
  <si>
    <t>Massachusetts College of Art and Design</t>
  </si>
  <si>
    <t>Massachusetts College of Liberal Arts</t>
  </si>
  <si>
    <t>Massachusetts Institute of Technology</t>
  </si>
  <si>
    <t>Massachusetts Maritime Academy</t>
  </si>
  <si>
    <t>Massachusetts School of Barbering</t>
  </si>
  <si>
    <t>Massachusetts School of Law</t>
  </si>
  <si>
    <t>Massage Institute of Memphis</t>
  </si>
  <si>
    <t>Massasoit Community College</t>
  </si>
  <si>
    <t>Master's Barber &amp; Styling College</t>
  </si>
  <si>
    <t>Mauna Loa Helicopters</t>
  </si>
  <si>
    <t>Mayfield College</t>
  </si>
  <si>
    <t>Mayland Community College</t>
  </si>
  <si>
    <t>Mayo Clinic College of Medicine and Science</t>
  </si>
  <si>
    <t>Maysville Community and Technical College</t>
  </si>
  <si>
    <t>Mayville State University</t>
  </si>
  <si>
    <t>McCormick Theological Seminary</t>
  </si>
  <si>
    <t>McDaniel College</t>
  </si>
  <si>
    <t>McDougle Technical  Institute</t>
  </si>
  <si>
    <t>McDowell Technical Community College</t>
  </si>
  <si>
    <t>McHenry County College</t>
  </si>
  <si>
    <t>MCI</t>
  </si>
  <si>
    <t>McKendree University</t>
  </si>
  <si>
    <t>McLennan Community College</t>
  </si>
  <si>
    <t>McMurry University</t>
  </si>
  <si>
    <t>McNeese State University</t>
  </si>
  <si>
    <t>McPherson College</t>
  </si>
  <si>
    <t>MCPHS University</t>
  </si>
  <si>
    <t>MCVSD</t>
  </si>
  <si>
    <t>M-DCPS The English Center</t>
  </si>
  <si>
    <t>MDT College of Health Sciences</t>
  </si>
  <si>
    <t>Meadville Theological School of Lombard College</t>
  </si>
  <si>
    <t>Mechon L'hoyroa</t>
  </si>
  <si>
    <t>Mech-Tech College</t>
  </si>
  <si>
    <t>Med Academy</t>
  </si>
  <si>
    <t>Medaille College</t>
  </si>
  <si>
    <t>MediaTech Institute-Dallas</t>
  </si>
  <si>
    <t>MediaTech Institute-Houston</t>
  </si>
  <si>
    <t>Medical Allied Career Center</t>
  </si>
  <si>
    <t>Medical Career &amp; Technical College</t>
  </si>
  <si>
    <t>Medical Career College of Northern California</t>
  </si>
  <si>
    <t>Medical Career Institute</t>
  </si>
  <si>
    <t>Medical College of Wisconsin</t>
  </si>
  <si>
    <t>Medical Institute of Palm Beach</t>
  </si>
  <si>
    <t>Medical Training College</t>
  </si>
  <si>
    <t>Medical University of South Carolina</t>
  </si>
  <si>
    <t>Medina County Career Center</t>
  </si>
  <si>
    <t>MedQuest College</t>
  </si>
  <si>
    <t>Medspa Academies</t>
  </si>
  <si>
    <t>Medspa Academies-National Institute of Modern Aesthetics</t>
  </si>
  <si>
    <t>Meharry Medical College</t>
  </si>
  <si>
    <t>Mei Barber School</t>
  </si>
  <si>
    <t>Memorial Hospital School of Radiation Therapy Technology</t>
  </si>
  <si>
    <t>Memphis Theological Seminary</t>
  </si>
  <si>
    <t>Mendocino College</t>
  </si>
  <si>
    <t>Menlo College</t>
  </si>
  <si>
    <t>Merced College</t>
  </si>
  <si>
    <t>Mercer County Career Center</t>
  </si>
  <si>
    <t>Mercer County Community College</t>
  </si>
  <si>
    <t>Mercer County Technical Education Center</t>
  </si>
  <si>
    <t>Mercer University</t>
  </si>
  <si>
    <t>Mercy College</t>
  </si>
  <si>
    <t>Mercy College of Health Sciences</t>
  </si>
  <si>
    <t>Mercy College of Ohio</t>
  </si>
  <si>
    <t>Mercy Hospital School of Practical Nursing-Plantation General Hospital</t>
  </si>
  <si>
    <t>Mercyhurst University</t>
  </si>
  <si>
    <t>Mercyhurst University-North East Campus</t>
  </si>
  <si>
    <t>Mercy-St Luke's School of Radiologic Technology</t>
  </si>
  <si>
    <t>Meredith College</t>
  </si>
  <si>
    <t>Meredith Manor International Equestrian Center</t>
  </si>
  <si>
    <t>Meridian College</t>
  </si>
  <si>
    <t>Meridian Community College</t>
  </si>
  <si>
    <t>Meridian Institute of Surgical Assisting</t>
  </si>
  <si>
    <t>Meridian Technology Center</t>
  </si>
  <si>
    <t>Meridian University</t>
  </si>
  <si>
    <t>Merkaz Bnos-Business School</t>
  </si>
  <si>
    <t>Merrimack College</t>
  </si>
  <si>
    <t>Merritt College</t>
  </si>
  <si>
    <t>Merryfield School of Pet Grooming</t>
  </si>
  <si>
    <t>Meryma'at Barber College</t>
  </si>
  <si>
    <t>Mesa Community College</t>
  </si>
  <si>
    <t>Mesabi Range College</t>
  </si>
  <si>
    <t>Mesalands Community College</t>
  </si>
  <si>
    <t>Mesivta of Eastern Parkway-Yeshiva Zichron Meilech</t>
  </si>
  <si>
    <t>Mesivta Torah Vodaath Rabbinical Seminary</t>
  </si>
  <si>
    <t>Mesivtha Tifereth Jerusalem of America</t>
  </si>
  <si>
    <t>Messenger College</t>
  </si>
  <si>
    <t>Messiah University</t>
  </si>
  <si>
    <t>Methodist College</t>
  </si>
  <si>
    <t>Methodist Theological School in Ohio</t>
  </si>
  <si>
    <t>Methodist University</t>
  </si>
  <si>
    <t>Metro Beauty Academy</t>
  </si>
  <si>
    <t>Metro Detroit Barber College</t>
  </si>
  <si>
    <t>Metro Technology Centers</t>
  </si>
  <si>
    <t>Metropolitan College of New York</t>
  </si>
  <si>
    <t>Metropolitan Community College Area</t>
  </si>
  <si>
    <t>Metropolitan Community College-Kansas City</t>
  </si>
  <si>
    <t>Metropolitan Learning Institute</t>
  </si>
  <si>
    <t>Metropolitan State University</t>
  </si>
  <si>
    <t>Metropolitan State University of Denver</t>
  </si>
  <si>
    <t>MGH Institute of Health Professions</t>
  </si>
  <si>
    <t>Miami Ad School</t>
  </si>
  <si>
    <t>Miami Ad School-Atlanta</t>
  </si>
  <si>
    <t>Miami Ad School-New York</t>
  </si>
  <si>
    <t>Miami Ad School-San Francisco</t>
  </si>
  <si>
    <t>Miami Dade College</t>
  </si>
  <si>
    <t>Miami International University of Art &amp; Design-Art Institute Dallas</t>
  </si>
  <si>
    <t>Miami Lakes Educational Center and Technical College</t>
  </si>
  <si>
    <t>Miami Media School</t>
  </si>
  <si>
    <t>Miami Regional University</t>
  </si>
  <si>
    <t>Miami University-Hamilton</t>
  </si>
  <si>
    <t>Miami University-Middletown</t>
  </si>
  <si>
    <t>Miami University-Oxford</t>
  </si>
  <si>
    <t>Miami Valley Career Technology Center</t>
  </si>
  <si>
    <t>MIAT College of Technology</t>
  </si>
  <si>
    <t>Michael's Barber &amp; Hair Stylist Academy</t>
  </si>
  <si>
    <t>Michael's School of Hair Design &amp; Esthetics</t>
  </si>
  <si>
    <t>Michigan Career and Technical Institute</t>
  </si>
  <si>
    <t>Michigan College of Beauty-Monroe</t>
  </si>
  <si>
    <t>Michigan College of Beauty-Troy</t>
  </si>
  <si>
    <t>Michigan School of Psychology</t>
  </si>
  <si>
    <t>Michigan State University</t>
  </si>
  <si>
    <t>Michigan Technological University</t>
  </si>
  <si>
    <t>Mid Cities Barber College</t>
  </si>
  <si>
    <t>Mid Michigan College</t>
  </si>
  <si>
    <t>Mid-America Christian University</t>
  </si>
  <si>
    <t>Mid-America College of Funeral Service</t>
  </si>
  <si>
    <t>MidAmerica Nazarene University</t>
  </si>
  <si>
    <t>Mid-America Technology Center</t>
  </si>
  <si>
    <t>Mid-Atlantic Christian University</t>
  </si>
  <si>
    <t>Mid-Del Technology Center</t>
  </si>
  <si>
    <t>Middle Georgia State University</t>
  </si>
  <si>
    <t>Middle Tennessee School of Anesthesia Inc</t>
  </si>
  <si>
    <t>Middle Tennessee State University</t>
  </si>
  <si>
    <t>Middlebury College</t>
  </si>
  <si>
    <t>Middlebury Institute of International Studies at Monterey</t>
  </si>
  <si>
    <t>Middlesex College</t>
  </si>
  <si>
    <t>Middlesex Community College</t>
  </si>
  <si>
    <t>Mid-EastCTC-Adult Education</t>
  </si>
  <si>
    <t>Midfield Institute of Cosmetology</t>
  </si>
  <si>
    <t>Midland College</t>
  </si>
  <si>
    <t>Midland University</t>
  </si>
  <si>
    <t>Midlands Technical College</t>
  </si>
  <si>
    <t>Mid-Plains Community College</t>
  </si>
  <si>
    <t>Mid-South Christian College</t>
  </si>
  <si>
    <t>Mid-State Technical College</t>
  </si>
  <si>
    <t>Midway Paris Beauty School</t>
  </si>
  <si>
    <t>Midway University</t>
  </si>
  <si>
    <t>Midwest Barber College</t>
  </si>
  <si>
    <t>Midwest College of Oriental Medicine-Racine</t>
  </si>
  <si>
    <t>Midwest College of Oriental Medicine-Skokie</t>
  </si>
  <si>
    <t>Midwest Institute</t>
  </si>
  <si>
    <t>Midwest Technical Institute-East Peoria</t>
  </si>
  <si>
    <t>Midwest Technical Institute-Illinois</t>
  </si>
  <si>
    <t>Midwest Technical Institute-Missouri</t>
  </si>
  <si>
    <t>Midwest Technical Institute-Moline</t>
  </si>
  <si>
    <t>Midwest Technical Institute-Ridgeland</t>
  </si>
  <si>
    <t>Midwestern Baptist Theological Seminary</t>
  </si>
  <si>
    <t>Midwestern Career College</t>
  </si>
  <si>
    <t>Midwestern State University</t>
  </si>
  <si>
    <t>Midwestern University-Downers Grove</t>
  </si>
  <si>
    <t>Midwestern University-Glendale</t>
  </si>
  <si>
    <t>Midwives College of Utah</t>
  </si>
  <si>
    <t>Mifflin County Academy of Science and Technology</t>
  </si>
  <si>
    <t>Milan Institute of Cosmetology-El Paso</t>
  </si>
  <si>
    <t>Milan Institute of Cosmetology-La Quinta</t>
  </si>
  <si>
    <t>Milan Institute of Cosmetology-Reno</t>
  </si>
  <si>
    <t>Milan Institute of Cosmetology-San Antonio Military</t>
  </si>
  <si>
    <t>Milan Institute of Cosmetology-Vacaville</t>
  </si>
  <si>
    <t>Milan Institute-Amarillo</t>
  </si>
  <si>
    <t>Milan Institute-Bakersfield</t>
  </si>
  <si>
    <t>Milan Institute-Bakersfield West</t>
  </si>
  <si>
    <t>Milan Institute-Boise</t>
  </si>
  <si>
    <t>Milan Institute-Clovis</t>
  </si>
  <si>
    <t>Milan Institute-Las Vegas</t>
  </si>
  <si>
    <t>Milan Institute-Merced</t>
  </si>
  <si>
    <t>Milan Institute-Palm Desert</t>
  </si>
  <si>
    <t>Milan Institute-San Antonio Ingram</t>
  </si>
  <si>
    <t>Milan Institute-Sparks</t>
  </si>
  <si>
    <t>Milan Institute-Visalia</t>
  </si>
  <si>
    <t>Mildred Elley School-Albany Campus</t>
  </si>
  <si>
    <t>Mildred Elley-New York Campus</t>
  </si>
  <si>
    <t>Mildred Elley-Pittsfield Campus</t>
  </si>
  <si>
    <t>Miles College</t>
  </si>
  <si>
    <t>Miles Community College</t>
  </si>
  <si>
    <t>Millennia Atlantic University</t>
  </si>
  <si>
    <t>Millennium Training Institute</t>
  </si>
  <si>
    <t>Miller-Motte College Platt College-Moore</t>
  </si>
  <si>
    <t>Miller-Motte College Platt College-OKC-Memorial</t>
  </si>
  <si>
    <t>Miller-Motte College-Arizona Automotive Institute</t>
  </si>
  <si>
    <t>Miller-Motte College-Augusta</t>
  </si>
  <si>
    <t>Miller-Motte College-Berks Technical Institute</t>
  </si>
  <si>
    <t>Miller-Motte College-Charleston</t>
  </si>
  <si>
    <t>Miller-Motte College-Chattanooga</t>
  </si>
  <si>
    <t>Miller-Motte College-Chattanooga 2</t>
  </si>
  <si>
    <t>Miller-Motte College-Columbus</t>
  </si>
  <si>
    <t>Miller-Motte College-Conway</t>
  </si>
  <si>
    <t>Miller-Motte College-Edge Tech Academy</t>
  </si>
  <si>
    <t>Miller-Motte College-Fayetteville</t>
  </si>
  <si>
    <t>Miller-Motte College-Jacksonville</t>
  </si>
  <si>
    <t>Miller-Motte College-Macon</t>
  </si>
  <si>
    <t>Miller-Motte College-McCann-Allentown</t>
  </si>
  <si>
    <t>Miller-Motte College-McCann-Lewisburg</t>
  </si>
  <si>
    <t>Miller-Motte College-McCann-Monroe</t>
  </si>
  <si>
    <t>Miller-Motte College-Platt College-Lawton</t>
  </si>
  <si>
    <t>Miller-Motte College-Platt College-Tulsa</t>
  </si>
  <si>
    <t>Miller-Motte College-Raleigh</t>
  </si>
  <si>
    <t>Miller-Motte College-STVT-Corpus Christi</t>
  </si>
  <si>
    <t>Miller-Motte College-STVT-McAllen</t>
  </si>
  <si>
    <t>Miller-Motte College-STVT-San Antonio</t>
  </si>
  <si>
    <t>Miller-Motte College-Wilmington</t>
  </si>
  <si>
    <t>Millersville University of Pennsylvania</t>
  </si>
  <si>
    <t>Milligan University</t>
  </si>
  <si>
    <t>Millikin University</t>
  </si>
  <si>
    <t>Mills College</t>
  </si>
  <si>
    <t>Millsaps College</t>
  </si>
  <si>
    <t>Milwaukee Area Technical College</t>
  </si>
  <si>
    <t>Milwaukee Career College</t>
  </si>
  <si>
    <t>Milwaukee Institute of Art &amp; Design</t>
  </si>
  <si>
    <t>Milwaukee School of Engineering</t>
  </si>
  <si>
    <t>Mind Body Institute</t>
  </si>
  <si>
    <t>Mineral Area College</t>
  </si>
  <si>
    <t>Mineral County Vocational Technical Center</t>
  </si>
  <si>
    <t>Minerva University</t>
  </si>
  <si>
    <t>Mingo Extended Learning Center</t>
  </si>
  <si>
    <t>Minneapolis College of Art and Design</t>
  </si>
  <si>
    <t>Minneapolis Community and Technical College</t>
  </si>
  <si>
    <t>Minnesota School of Cosmetology-Woodbury Campus</t>
  </si>
  <si>
    <t>Minnesota State College Southeast</t>
  </si>
  <si>
    <t>Minnesota State Colleges and Universities System Office</t>
  </si>
  <si>
    <t>Minnesota State Community and Technical College</t>
  </si>
  <si>
    <t>Minnesota State University Moorhead</t>
  </si>
  <si>
    <t>Minnesota State University-Mankato</t>
  </si>
  <si>
    <t>Minnesota West Community and Technical College</t>
  </si>
  <si>
    <t>Minot State University</t>
  </si>
  <si>
    <t>MiraCosta College</t>
  </si>
  <si>
    <t>Mirrer Yeshiva Cent Institute</t>
  </si>
  <si>
    <t>Misericordia University</t>
  </si>
  <si>
    <t>Missio Theological Seminary</t>
  </si>
  <si>
    <t>Mission Beauty Institute</t>
  </si>
  <si>
    <t>Mission College</t>
  </si>
  <si>
    <t>Mississippi College</t>
  </si>
  <si>
    <t>Mississippi Community College Board</t>
  </si>
  <si>
    <t>Mississippi Delta Community College</t>
  </si>
  <si>
    <t>Mississippi Gulf Coast Community College</t>
  </si>
  <si>
    <t>Mississippi Institute of Aesthetics Nails &amp; Cosmetology</t>
  </si>
  <si>
    <t>Mississippi State University</t>
  </si>
  <si>
    <t>Mississippi University for Women</t>
  </si>
  <si>
    <t>Mississippi Valley State University</t>
  </si>
  <si>
    <t>Missouri Baptist University</t>
  </si>
  <si>
    <t>Missouri College of Cosmetology and Esthetics</t>
  </si>
  <si>
    <t>Missouri College of Cosmetology North</t>
  </si>
  <si>
    <t>Missouri Southern State University</t>
  </si>
  <si>
    <t>Missouri State University-Springfield</t>
  </si>
  <si>
    <t>Missouri State University-West Plains</t>
  </si>
  <si>
    <t>Missouri University of Science and Technology</t>
  </si>
  <si>
    <t>Missouri Valley College</t>
  </si>
  <si>
    <t>Missouri Western State University</t>
  </si>
  <si>
    <t>Mitchell College</t>
  </si>
  <si>
    <t>Mitchell Community College</t>
  </si>
  <si>
    <t>Mitchell Hamline School of Law</t>
  </si>
  <si>
    <t>Mitchell Technical College</t>
  </si>
  <si>
    <t>Mitchells Academy</t>
  </si>
  <si>
    <t>Mitsu Sato Hair Academy</t>
  </si>
  <si>
    <t>MIXED Institute of Cosmetology &amp; Barber</t>
  </si>
  <si>
    <t>MKG Beauty &amp; Business</t>
  </si>
  <si>
    <t>Moberly Area Community College</t>
  </si>
  <si>
    <t>Mobile Technical Training</t>
  </si>
  <si>
    <t>Model College of Hair Design</t>
  </si>
  <si>
    <t>Modern Beauty Academy</t>
  </si>
  <si>
    <t>Modern Hairstyling Institute-Arecibo</t>
  </si>
  <si>
    <t>Modern Hairstyling Institute-Bayamon</t>
  </si>
  <si>
    <t>Modern Hairstyling Institute-Carolina</t>
  </si>
  <si>
    <t>Modern Technology School</t>
  </si>
  <si>
    <t>Modern Welding School</t>
  </si>
  <si>
    <t>Modesto Junior College</t>
  </si>
  <si>
    <t>Mohave Community College</t>
  </si>
  <si>
    <t>Mohawk Valley Community College</t>
  </si>
  <si>
    <t>Moler Barber College</t>
  </si>
  <si>
    <t>Moler Hollywood Beauty Academy</t>
  </si>
  <si>
    <t>Moler-Pickens Beauty Academy</t>
  </si>
  <si>
    <t>Molloy College</t>
  </si>
  <si>
    <t>Monmouth College</t>
  </si>
  <si>
    <t>Monmouth University</t>
  </si>
  <si>
    <t>Monongalia County Technical Education Center</t>
  </si>
  <si>
    <t>Monroe 2 Orleans BOCES-Center for Workforce Development</t>
  </si>
  <si>
    <t>Monroe College</t>
  </si>
  <si>
    <t>Monroe Community College</t>
  </si>
  <si>
    <t>Monroe County Community College</t>
  </si>
  <si>
    <t>Montana Academy of Salons</t>
  </si>
  <si>
    <t>Montana Barber Institute</t>
  </si>
  <si>
    <t>Montana Bible College</t>
  </si>
  <si>
    <t>Montana State University</t>
  </si>
  <si>
    <t>Montana State University Billings</t>
  </si>
  <si>
    <t>Montana State University-Northern</t>
  </si>
  <si>
    <t>Montana Technological University</t>
  </si>
  <si>
    <t>Montcalm Community College</t>
  </si>
  <si>
    <t>Montclair State University</t>
  </si>
  <si>
    <t>Monteclaro Escuela de Hoteleria y Artes Culinarias</t>
  </si>
  <si>
    <t>Montefiore School of Nursing</t>
  </si>
  <si>
    <t>Monterey Peninsula College</t>
  </si>
  <si>
    <t>Montessori Education Center of the Rockies</t>
  </si>
  <si>
    <t>Montgomery Beauty School</t>
  </si>
  <si>
    <t>Montgomery College</t>
  </si>
  <si>
    <t>Montgomery Community College</t>
  </si>
  <si>
    <t>Montgomery County Community College</t>
  </si>
  <si>
    <t>Montreat College</t>
  </si>
  <si>
    <t>Montserrat College of Art</t>
  </si>
  <si>
    <t>Monty Tech</t>
  </si>
  <si>
    <t>Moody Bible Institute</t>
  </si>
  <si>
    <t>Moore Career College</t>
  </si>
  <si>
    <t>Moore College of Art and Design</t>
  </si>
  <si>
    <t>Moore Norman Technology Center</t>
  </si>
  <si>
    <t>Moorpark College</t>
  </si>
  <si>
    <t>Moraine Park Technical College</t>
  </si>
  <si>
    <t>Moraine Valley Community College</t>
  </si>
  <si>
    <t>Moravian University</t>
  </si>
  <si>
    <t>More Tech Institute</t>
  </si>
  <si>
    <t>Morehead State University</t>
  </si>
  <si>
    <t>Morehouse College</t>
  </si>
  <si>
    <t>Morehouse School of Medicine</t>
  </si>
  <si>
    <t>Moreno Valley College</t>
  </si>
  <si>
    <t>Morgan Community College</t>
  </si>
  <si>
    <t>Morgan State University</t>
  </si>
  <si>
    <t>Morgantown Beauty College Inc</t>
  </si>
  <si>
    <t>Morningside University</t>
  </si>
  <si>
    <t>Morris College</t>
  </si>
  <si>
    <t>Morris County Vocational School District</t>
  </si>
  <si>
    <t>Morrison Institute of Technology</t>
  </si>
  <si>
    <t>Morton College</t>
  </si>
  <si>
    <t>Motion Picture Institute</t>
  </si>
  <si>
    <t>Motlow State Community College</t>
  </si>
  <si>
    <t>Motoring Technical Training Institute</t>
  </si>
  <si>
    <t>MotoRing Technical Training Institute</t>
  </si>
  <si>
    <t>Mott Community College</t>
  </si>
  <si>
    <t>Mount Aloysius College</t>
  </si>
  <si>
    <t>Mount Angel Seminary</t>
  </si>
  <si>
    <t>Mount Carmel College of Nursing</t>
  </si>
  <si>
    <t>Mount Holyoke College</t>
  </si>
  <si>
    <t>Mount Marty University</t>
  </si>
  <si>
    <t>Mount Mary University</t>
  </si>
  <si>
    <t>Mount Mercy University</t>
  </si>
  <si>
    <t>Mount Saint Joseph University</t>
  </si>
  <si>
    <t>Mount Saint Mary College</t>
  </si>
  <si>
    <t>Mount Saint Mary's University</t>
  </si>
  <si>
    <t>Mount St. Mary's University</t>
  </si>
  <si>
    <t>Mount Vernon Nazarene University</t>
  </si>
  <si>
    <t>Mount Wachusett Community College</t>
  </si>
  <si>
    <t>Mountain Empire Community College</t>
  </si>
  <si>
    <t>Mountain State College</t>
  </si>
  <si>
    <t>Mountain State School of Massage</t>
  </si>
  <si>
    <t>Mountainland Technical College</t>
  </si>
  <si>
    <t>Mountwest Community and Technical College</t>
  </si>
  <si>
    <t>Mr Leon's School of Hair Design-Lewiston</t>
  </si>
  <si>
    <t>Mr Leon's School of Hair Design-Moscow</t>
  </si>
  <si>
    <t>Mr Wayne's School of Unisex Hair Design</t>
  </si>
  <si>
    <t>Ms Roberts Academy of Beauty Culture</t>
  </si>
  <si>
    <t>Mt Hood Community College</t>
  </si>
  <si>
    <t>Mt San Antonio College</t>
  </si>
  <si>
    <t>Mt San Jacinto Community College District</t>
  </si>
  <si>
    <t>Mt. Diablo Adult Education-Mt. Diablo USD</t>
  </si>
  <si>
    <t>MTI College</t>
  </si>
  <si>
    <t>Muhlenberg College</t>
  </si>
  <si>
    <t>Multnomah University</t>
  </si>
  <si>
    <t>Murray State College</t>
  </si>
  <si>
    <t>Murray State University</t>
  </si>
  <si>
    <t>Musicians Institute</t>
  </si>
  <si>
    <t>Muskegon Community College</t>
  </si>
  <si>
    <t>Muskingum University</t>
  </si>
  <si>
    <t>My Beauty &amp; Barber College</t>
  </si>
  <si>
    <t>My Le's Beauty College</t>
  </si>
  <si>
    <t>MyComputerCareer.com</t>
  </si>
  <si>
    <t>MyComputerCareer.edu-Columbus</t>
  </si>
  <si>
    <t>MyComputerCareer.edu-Raleigh</t>
  </si>
  <si>
    <t>Myotherapy College of Utah</t>
  </si>
  <si>
    <t>Myotherapy Institute</t>
  </si>
  <si>
    <t>MyrAngel Beauty Institute</t>
  </si>
  <si>
    <t>Mystros Barber Academy</t>
  </si>
  <si>
    <t>Napa Valley College</t>
  </si>
  <si>
    <t>Naropa University</t>
  </si>
  <si>
    <t>NASCAR Technical Institute</t>
  </si>
  <si>
    <t>Nash Community College</t>
  </si>
  <si>
    <t>Nashotah House</t>
  </si>
  <si>
    <t>Nashua Community College</t>
  </si>
  <si>
    <t>Nashville Film Institute</t>
  </si>
  <si>
    <t>Nashville State Community College</t>
  </si>
  <si>
    <t>Nassau Community College</t>
  </si>
  <si>
    <t>Nathan Layne Institute of Cosmetology</t>
  </si>
  <si>
    <t>National American University-Ellsworth AFB Extension</t>
  </si>
  <si>
    <t>National American University-Georgetown</t>
  </si>
  <si>
    <t>National American University-Kings Bay</t>
  </si>
  <si>
    <t>National American University-Rapid City</t>
  </si>
  <si>
    <t>National Aviation Academy of New England</t>
  </si>
  <si>
    <t>National Aviation Academy of Tampa Bay</t>
  </si>
  <si>
    <t>National Beauty College</t>
  </si>
  <si>
    <t>National Career College</t>
  </si>
  <si>
    <t>National Career Education</t>
  </si>
  <si>
    <t>National Career Institute</t>
  </si>
  <si>
    <t>National Conservatory of Dramatic Arts</t>
  </si>
  <si>
    <t>National Holistic Institute</t>
  </si>
  <si>
    <t>National Institute for Medical Assistant Advancement (NIMAA)</t>
  </si>
  <si>
    <t>National Latino Education Institute</t>
  </si>
  <si>
    <t>National Louis University</t>
  </si>
  <si>
    <t>National Paralegal College</t>
  </si>
  <si>
    <t>National Park College</t>
  </si>
  <si>
    <t>National Personal Training Institute</t>
  </si>
  <si>
    <t>National Personal Training Institute-Tampa</t>
  </si>
  <si>
    <t>National Polytechnic College</t>
  </si>
  <si>
    <t>National Tractor Trailer School Inc-Buffalo</t>
  </si>
  <si>
    <t>National Tractor Trailer School Inc-Liverpool</t>
  </si>
  <si>
    <t>National University</t>
  </si>
  <si>
    <t>National University of Health Sciences</t>
  </si>
  <si>
    <t>National University of Natural Medicine</t>
  </si>
  <si>
    <t>Natural Images Beauty College</t>
  </si>
  <si>
    <t>Naugatuck Valley Community College</t>
  </si>
  <si>
    <t>Navajo Technical University</t>
  </si>
  <si>
    <t>Naval Postgraduate School</t>
  </si>
  <si>
    <t>Navarro College</t>
  </si>
  <si>
    <t>Nazarene Bible College</t>
  </si>
  <si>
    <t>Nazarene Theological Seminary</t>
  </si>
  <si>
    <t>Nazareth College</t>
  </si>
  <si>
    <t>Nebraska College of Technical Agriculture</t>
  </si>
  <si>
    <t>Nebraska Indian Community College</t>
  </si>
  <si>
    <t>Nebraska Methodist College of Nursing &amp; Allied Health</t>
  </si>
  <si>
    <t>Nebraska Wesleyan University</t>
  </si>
  <si>
    <t>Neecee's Barber College</t>
  </si>
  <si>
    <t>Neighborhood Playhouse School of the Theater</t>
  </si>
  <si>
    <t>Neo-Esthetique European Institute</t>
  </si>
  <si>
    <t>Neosho Beauty College</t>
  </si>
  <si>
    <t>Neosho County Community College</t>
  </si>
  <si>
    <t>Ner Israel Rabbinical College</t>
  </si>
  <si>
    <t>Networks Barber College</t>
  </si>
  <si>
    <t>Neumann University</t>
  </si>
  <si>
    <t>Neumont College of Computer Science</t>
  </si>
  <si>
    <t>Nevada Career Institute</t>
  </si>
  <si>
    <t>Nevada State College</t>
  </si>
  <si>
    <t>Nevada System of Higher Education-System Office</t>
  </si>
  <si>
    <t>New Age Training</t>
  </si>
  <si>
    <t>New Beginning College of Cosmetology</t>
  </si>
  <si>
    <t>New Beginnings Beauty Academy</t>
  </si>
  <si>
    <t>New Brunswick Theological Seminary</t>
  </si>
  <si>
    <t>New Castle School of Trades</t>
  </si>
  <si>
    <t>New College of Florida</t>
  </si>
  <si>
    <t>New Community Career &amp; Technical Institute</t>
  </si>
  <si>
    <t>New Concept Massage and Beauty School</t>
  </si>
  <si>
    <t>New Dimensions School of Hair Design</t>
  </si>
  <si>
    <t>New England College</t>
  </si>
  <si>
    <t>New England College of Optometry</t>
  </si>
  <si>
    <t>New England Culinary Institute</t>
  </si>
  <si>
    <t>New England Hair Academy</t>
  </si>
  <si>
    <t>New England Institute of Technology</t>
  </si>
  <si>
    <t>New England Law-Boston</t>
  </si>
  <si>
    <t>New England School of Hair Design</t>
  </si>
  <si>
    <t>New England Tractor Trailer Training School of Connecticut</t>
  </si>
  <si>
    <t>New England Tractor Trailer Training School of CT-Bridgeport</t>
  </si>
  <si>
    <t>New England Tractor Trailer Training School of Massachusetts</t>
  </si>
  <si>
    <t>New England Tractor Trailer Training School of Rhode Island</t>
  </si>
  <si>
    <t>New Hampshire Institute for Therapeutic Arts</t>
  </si>
  <si>
    <t>New Hope Christian College-Eugene</t>
  </si>
  <si>
    <t>New Jersey City University</t>
  </si>
  <si>
    <t>New Jersey Institute of Technology</t>
  </si>
  <si>
    <t>New Mexico Highlands University</t>
  </si>
  <si>
    <t>New Mexico Institute of Mining and Technology</t>
  </si>
  <si>
    <t>New Mexico Junior College</t>
  </si>
  <si>
    <t>New Mexico Military Institute</t>
  </si>
  <si>
    <t>New Mexico State University-Alamogordo</t>
  </si>
  <si>
    <t>New Mexico State University-Dona Ana</t>
  </si>
  <si>
    <t>New Mexico State University-Grants</t>
  </si>
  <si>
    <t>New Mexico State University-Main Campus</t>
  </si>
  <si>
    <t>New Orleans Baptist Theological Seminary</t>
  </si>
  <si>
    <t>New Professions Technical Institute</t>
  </si>
  <si>
    <t>New River Community and Technical College</t>
  </si>
  <si>
    <t>New River Community College</t>
  </si>
  <si>
    <t>New Saint Andrews College</t>
  </si>
  <si>
    <t>New Tyler Barber College Inc</t>
  </si>
  <si>
    <t>New York Academy of Art</t>
  </si>
  <si>
    <t>New York Automotive and Diesel Institute</t>
  </si>
  <si>
    <t>New York College of Health Professions</t>
  </si>
  <si>
    <t>New York College of Podiatric Medicine</t>
  </si>
  <si>
    <t>New York College of Traditional Chinese Medicine</t>
  </si>
  <si>
    <t>New York Conservatory for Dramatic Arts</t>
  </si>
  <si>
    <t>New York Film Academy</t>
  </si>
  <si>
    <t>New York Institute of Beauty</t>
  </si>
  <si>
    <t>New York Institute of Massage Inc</t>
  </si>
  <si>
    <t>New York Institute of Technology</t>
  </si>
  <si>
    <t>New York Law School</t>
  </si>
  <si>
    <t>New York Medical Career Training Center</t>
  </si>
  <si>
    <t>New York Medical College</t>
  </si>
  <si>
    <t>New York School for Medical and Dental Assistants</t>
  </si>
  <si>
    <t>New York School of Esthetics &amp; Day Spa</t>
  </si>
  <si>
    <t>New York School of Interior Design</t>
  </si>
  <si>
    <t>New York Seminary</t>
  </si>
  <si>
    <t>New York Theological Seminary</t>
  </si>
  <si>
    <t>New York University</t>
  </si>
  <si>
    <t>Newberry College</t>
  </si>
  <si>
    <t>Newberry School of Beauty</t>
  </si>
  <si>
    <t>Newman University</t>
  </si>
  <si>
    <t>Newschool of Architecture and Design</t>
  </si>
  <si>
    <t>NewU University</t>
  </si>
  <si>
    <t>NHTI-Concord's Community College</t>
  </si>
  <si>
    <t>Niagara County Community College</t>
  </si>
  <si>
    <t>Niagara University</t>
  </si>
  <si>
    <t>Nicholls State University</t>
  </si>
  <si>
    <t>Nichols College</t>
  </si>
  <si>
    <t>Nicolet Area Technical College</t>
  </si>
  <si>
    <t>Nightingale College</t>
  </si>
  <si>
    <t>No Grease Barber School</t>
  </si>
  <si>
    <t>Norco College</t>
  </si>
  <si>
    <t>Norfolk State University</t>
  </si>
  <si>
    <t>Normandale Community College</t>
  </si>
  <si>
    <t>North Adrian's College of Beauty Inc</t>
  </si>
  <si>
    <t>North American Trade Schools</t>
  </si>
  <si>
    <t>North American University</t>
  </si>
  <si>
    <t>North Arkansas College</t>
  </si>
  <si>
    <t>North Bennet Street School</t>
  </si>
  <si>
    <t>North Carolina A &amp; T State University</t>
  </si>
  <si>
    <t>North Carolina Central University</t>
  </si>
  <si>
    <t>North Carolina State University at Raleigh</t>
  </si>
  <si>
    <t>North Carolina Wesleyan College</t>
  </si>
  <si>
    <t>North Central College</t>
  </si>
  <si>
    <t>North Central Institute</t>
  </si>
  <si>
    <t>North Central Kansas Technical College</t>
  </si>
  <si>
    <t>North Central Michigan College</t>
  </si>
  <si>
    <t>North Central Missouri College</t>
  </si>
  <si>
    <t>North Central State College</t>
  </si>
  <si>
    <t>North Central Texas College</t>
  </si>
  <si>
    <t>North Central University</t>
  </si>
  <si>
    <t>North Country Community College</t>
  </si>
  <si>
    <t>North Dakota State College of Science</t>
  </si>
  <si>
    <t>North Dakota State University-Main Campus</t>
  </si>
  <si>
    <t>North Florida College</t>
  </si>
  <si>
    <t>North Florida Cosmetology Institute</t>
  </si>
  <si>
    <t>North Florida Technical College</t>
  </si>
  <si>
    <t>North Georgia Technical College</t>
  </si>
  <si>
    <t>North Greenville University</t>
  </si>
  <si>
    <t>North Hennepin Community College</t>
  </si>
  <si>
    <t>North Idaho College</t>
  </si>
  <si>
    <t>North Iowa Area Community College</t>
  </si>
  <si>
    <t>North Orange County Community College District</t>
  </si>
  <si>
    <t>North Park University</t>
  </si>
  <si>
    <t>North Seattle College</t>
  </si>
  <si>
    <t>North Shore Community College</t>
  </si>
  <si>
    <t>Northampton County Area Community College</t>
  </si>
  <si>
    <t>Northcentral Technical College</t>
  </si>
  <si>
    <t>Northcentral University</t>
  </si>
  <si>
    <t>Northcoast Medical Training Academy</t>
  </si>
  <si>
    <t>Northeast Alabama Community College</t>
  </si>
  <si>
    <t>Northeast College of Health Sciences</t>
  </si>
  <si>
    <t>Northeast Community College</t>
  </si>
  <si>
    <t>Northeast Iowa Community College</t>
  </si>
  <si>
    <t>Northeast Lakeview College</t>
  </si>
  <si>
    <t>Northeast Mississippi Community College</t>
  </si>
  <si>
    <t>Northeast Ohio Medical University</t>
  </si>
  <si>
    <t>Northeast State Community College</t>
  </si>
  <si>
    <t>Northeast Technical Institute</t>
  </si>
  <si>
    <t>Northeast Technology Center</t>
  </si>
  <si>
    <t>Northeast Texas Community College</t>
  </si>
  <si>
    <t>Northeast Wisconsin Technical College</t>
  </si>
  <si>
    <t>Northeastern Illinois University</t>
  </si>
  <si>
    <t>Northeastern Junior College</t>
  </si>
  <si>
    <t>Northeastern Oklahoma A&amp;M College</t>
  </si>
  <si>
    <t>Northeastern Seminary</t>
  </si>
  <si>
    <t>Northeastern State University</t>
  </si>
  <si>
    <t>Northeastern Technical College</t>
  </si>
  <si>
    <t>Northeastern University</t>
  </si>
  <si>
    <t>Northeastern University Professional Programs</t>
  </si>
  <si>
    <t>Northern Arizona University</t>
  </si>
  <si>
    <t>Northern Baptist Theological Seminary</t>
  </si>
  <si>
    <t>Northern Career Institute</t>
  </si>
  <si>
    <t>Northern Essex Community College</t>
  </si>
  <si>
    <t>Northern Illinois University</t>
  </si>
  <si>
    <t>Northern Institute of Cosmetology</t>
  </si>
  <si>
    <t>Northern Kentucky University</t>
  </si>
  <si>
    <t>Northern Maine Community College</t>
  </si>
  <si>
    <t>Northern Marianas College</t>
  </si>
  <si>
    <t>Northern Michigan University</t>
  </si>
  <si>
    <t>Northern New Mexico College</t>
  </si>
  <si>
    <t>Northern Oklahoma College</t>
  </si>
  <si>
    <t>Northern Pennsylvania Regional College</t>
  </si>
  <si>
    <t>Northern State University</t>
  </si>
  <si>
    <t>Northern Technical College</t>
  </si>
  <si>
    <t>Northern Tier Career Center</t>
  </si>
  <si>
    <t>Northern Vermont University</t>
  </si>
  <si>
    <t>Northern Virginia Community College</t>
  </si>
  <si>
    <t>Northern Virginia School of Therapeutic Massage</t>
  </si>
  <si>
    <t>Northern Wyoming Community College District</t>
  </si>
  <si>
    <t>Northland College</t>
  </si>
  <si>
    <t>Northland Community and Technical College</t>
  </si>
  <si>
    <t>Northland Pioneer College</t>
  </si>
  <si>
    <t>Northpoint Bible College</t>
  </si>
  <si>
    <t>Northshore Technical Community College</t>
  </si>
  <si>
    <t>NorthShore University HealthSystem School of Nurse Anesthesia</t>
  </si>
  <si>
    <t>NorthWest Arkansas Community College</t>
  </si>
  <si>
    <t>Northwest Career College</t>
  </si>
  <si>
    <t>Northwest College</t>
  </si>
  <si>
    <t>Northwest College of Art &amp; Design</t>
  </si>
  <si>
    <t>North-West College-Anaheim</t>
  </si>
  <si>
    <t>Northwest College-Beaverton</t>
  </si>
  <si>
    <t>Northwest College-Clackamas</t>
  </si>
  <si>
    <t>Northwest College-Eugene</t>
  </si>
  <si>
    <t>North-West College-Glendale</t>
  </si>
  <si>
    <t>Northwest College-Hillsboro</t>
  </si>
  <si>
    <t>North-West College-Long Beach</t>
  </si>
  <si>
    <t>Northwest College-Medford</t>
  </si>
  <si>
    <t>North-West College-Pomona</t>
  </si>
  <si>
    <t>North-West College-Riverside</t>
  </si>
  <si>
    <t>North-West College-San Diego</t>
  </si>
  <si>
    <t>Northwest College-Tualatin</t>
  </si>
  <si>
    <t>North-West College-Van Nuys</t>
  </si>
  <si>
    <t>North-West College-West Covina</t>
  </si>
  <si>
    <t>Northwest Educational Center</t>
  </si>
  <si>
    <t>Northwest Florida State College</t>
  </si>
  <si>
    <t>Northwest HVAC/R Training Center</t>
  </si>
  <si>
    <t>Northwest Indian College</t>
  </si>
  <si>
    <t>Northwest Iowa Community College</t>
  </si>
  <si>
    <t>Northwest Kansas Technical College</t>
  </si>
  <si>
    <t>Northwest Louisiana Technical Community College</t>
  </si>
  <si>
    <t>Northwest Mississippi Community College</t>
  </si>
  <si>
    <t>Northwest Missouri State University</t>
  </si>
  <si>
    <t>Northwest Nazarene University</t>
  </si>
  <si>
    <t>Northwest School of Wooden Boat Building</t>
  </si>
  <si>
    <t>Northwest State Community College</t>
  </si>
  <si>
    <t>Northwest Technical College</t>
  </si>
  <si>
    <t>Northwest Technical Institute</t>
  </si>
  <si>
    <t>Northwest Technology Center-Alva</t>
  </si>
  <si>
    <t>Northwest University</t>
  </si>
  <si>
    <t>Northwest University-Center for Online and Extended Education</t>
  </si>
  <si>
    <t>Northwest Vista College</t>
  </si>
  <si>
    <t>Northwestern College</t>
  </si>
  <si>
    <t>Northwestern Connecticut Community College</t>
  </si>
  <si>
    <t>Northwestern Health Sciences University</t>
  </si>
  <si>
    <t>Northwestern Michigan College</t>
  </si>
  <si>
    <t>Northwestern Oklahoma State University</t>
  </si>
  <si>
    <t>Northwestern State University of Louisiana</t>
  </si>
  <si>
    <t>Northwestern Technological Institute</t>
  </si>
  <si>
    <t>Northwestern University</t>
  </si>
  <si>
    <t>Northwest-Shoals Community College</t>
  </si>
  <si>
    <t>Northwood Technical College</t>
  </si>
  <si>
    <t>Northwood University</t>
  </si>
  <si>
    <t>Norwalk Community College</t>
  </si>
  <si>
    <t>Norwich University</t>
  </si>
  <si>
    <t>Nossi College of Art</t>
  </si>
  <si>
    <t>Notre Dame College</t>
  </si>
  <si>
    <t>Notre Dame de Namur University</t>
  </si>
  <si>
    <t>Notre Dame of Maryland University</t>
  </si>
  <si>
    <t>Nouvelle Institute</t>
  </si>
  <si>
    <t>Nova Academy of Cosmetology</t>
  </si>
  <si>
    <t>Nova College de Puerto Rico</t>
  </si>
  <si>
    <t>Nova Southeastern University</t>
  </si>
  <si>
    <t>NTMA Training Centers of Southern California</t>
  </si>
  <si>
    <t>NUC University</t>
  </si>
  <si>
    <t>Nueta Hidatsa Sahnish College</t>
  </si>
  <si>
    <t>Nunez Community College</t>
  </si>
  <si>
    <t>Nuvani Institute</t>
  </si>
  <si>
    <t>Nuvo College of Cosmetology</t>
  </si>
  <si>
    <t>Nyack College</t>
  </si>
  <si>
    <t>O C Collins Career Center</t>
  </si>
  <si>
    <t>Oak Hills Christian College</t>
  </si>
  <si>
    <t>Oak Point University</t>
  </si>
  <si>
    <t>Oak Valley College</t>
  </si>
  <si>
    <t>Oakland City University</t>
  </si>
  <si>
    <t>Oakland Community College</t>
  </si>
  <si>
    <t>Oakland University</t>
  </si>
  <si>
    <t>Oakton Community College</t>
  </si>
  <si>
    <t>Oakwood University</t>
  </si>
  <si>
    <t>Oberlin College</t>
  </si>
  <si>
    <t>Oblate School of Theology</t>
  </si>
  <si>
    <t>O'Briens Aveda Institute</t>
  </si>
  <si>
    <t>Occidental College</t>
  </si>
  <si>
    <t>Ocean Corporation</t>
  </si>
  <si>
    <t>Ocean County College</t>
  </si>
  <si>
    <t>Ocean County Vocational-Technical School</t>
  </si>
  <si>
    <t>Oconee Fall Line Technical College</t>
  </si>
  <si>
    <t>Odessa College</t>
  </si>
  <si>
    <t>Oehrlein School of Cosmetology</t>
  </si>
  <si>
    <t>Ogden-Weber Technical College</t>
  </si>
  <si>
    <t>Ogeechee Technical College</t>
  </si>
  <si>
    <t>Oglala Lakota College</t>
  </si>
  <si>
    <t>Ogle School Hair Skin Nails-Arlington</t>
  </si>
  <si>
    <t>Ogle School Hair Skin Nails-Dallas</t>
  </si>
  <si>
    <t>Ogle School Hair Skin Nails-Denton</t>
  </si>
  <si>
    <t>Ogle School Hair Skin Nails-Ft Worth</t>
  </si>
  <si>
    <t>Ogle School Hair Skin Nails-Hurst</t>
  </si>
  <si>
    <t>Ogle School Hair Skin Nails-North Dallas</t>
  </si>
  <si>
    <t>Ogle School Hair Skin Nails-San Antonio</t>
  </si>
  <si>
    <t>Ogle School Hair Skin Nails-Stafford</t>
  </si>
  <si>
    <t>Ogle School Hair Skin Nails-Willowbrook</t>
  </si>
  <si>
    <t>Oglethorpe University</t>
  </si>
  <si>
    <t>Ohel Margulia Seminary</t>
  </si>
  <si>
    <t>Ohio Business College-Dayton-Driving Academy</t>
  </si>
  <si>
    <t>Ohio Business College-Sandusky</t>
  </si>
  <si>
    <t>Ohio Business College-Sheffield</t>
  </si>
  <si>
    <t>Ohio Christian University</t>
  </si>
  <si>
    <t>Ohio Dominican University</t>
  </si>
  <si>
    <t>Ohio Institute of Allied Health</t>
  </si>
  <si>
    <t>Ohio Media School-Cincinnati</t>
  </si>
  <si>
    <t>Ohio Media School-Columbus</t>
  </si>
  <si>
    <t>Ohio Media School-Valley View</t>
  </si>
  <si>
    <t>Ohio Medical Career College</t>
  </si>
  <si>
    <t>Ohio Northern University</t>
  </si>
  <si>
    <t>Ohio State Beauty Academy</t>
  </si>
  <si>
    <t>Ohio State College of Barber Styling</t>
  </si>
  <si>
    <t>Ohio State School of Cosmetology-Canal Winchester</t>
  </si>
  <si>
    <t>Ohio State School of Cosmetology-Heath</t>
  </si>
  <si>
    <t>Ohio State University Agricultural Technical Institute</t>
  </si>
  <si>
    <t>Ohio State University-Lima Campus</t>
  </si>
  <si>
    <t>Ohio State University-Main Campus</t>
  </si>
  <si>
    <t>Ohio State University-Mansfield Campus</t>
  </si>
  <si>
    <t>Ohio State University-Marion Campus</t>
  </si>
  <si>
    <t>Ohio State University-Newark Campus</t>
  </si>
  <si>
    <t>Ohio Technical College</t>
  </si>
  <si>
    <t>Ohio University-Chillicothe Campus</t>
  </si>
  <si>
    <t>Ohio University-Eastern Campus</t>
  </si>
  <si>
    <t>Ohio University-Lancaster Campus</t>
  </si>
  <si>
    <t>Ohio University-Main Campus</t>
  </si>
  <si>
    <t>Ohio University-Southern Campus</t>
  </si>
  <si>
    <t>Ohio University-Zanesville Campus</t>
  </si>
  <si>
    <t>Ohio Valley University</t>
  </si>
  <si>
    <t>Ohio Wesleyan University</t>
  </si>
  <si>
    <t>Ohlone College</t>
  </si>
  <si>
    <t>Ohr Hameir Theological Seminary</t>
  </si>
  <si>
    <t>Okaloosa Technical College</t>
  </si>
  <si>
    <t>Oklahoma Baptist University</t>
  </si>
  <si>
    <t>Oklahoma Christian University</t>
  </si>
  <si>
    <t>Oklahoma City Community College</t>
  </si>
  <si>
    <t>Oklahoma City University</t>
  </si>
  <si>
    <t>Oklahoma Panhandle State University</t>
  </si>
  <si>
    <t>Oklahoma State University Center for Health Sciences</t>
  </si>
  <si>
    <t>Oklahoma State University Institute of Technology</t>
  </si>
  <si>
    <t>Oklahoma State University-Main Campus</t>
  </si>
  <si>
    <t>Oklahoma State University-Oklahoma City</t>
  </si>
  <si>
    <t>Oklahoma Technical College</t>
  </si>
  <si>
    <t>Oklahoma Wesleyan University</t>
  </si>
  <si>
    <t>Old Dominion University</t>
  </si>
  <si>
    <t>Old Town Barber College-Wichita</t>
  </si>
  <si>
    <t>Oliver Finley Academy of Cosmetology</t>
  </si>
  <si>
    <t>Olivet College</t>
  </si>
  <si>
    <t>Olivet Nazarene University</t>
  </si>
  <si>
    <t>Olney Central College</t>
  </si>
  <si>
    <t>Olympian Academy of Cosmetology</t>
  </si>
  <si>
    <t>Olympic College</t>
  </si>
  <si>
    <t>Omega Graduate School</t>
  </si>
  <si>
    <t>Omega Institute of Cosmetology</t>
  </si>
  <si>
    <t>Omega Studios' School of Applied Recording Arts &amp; Sciences</t>
  </si>
  <si>
    <t>Omnitech Institute</t>
  </si>
  <si>
    <t>Onondaga Community College</t>
  </si>
  <si>
    <t>Onondaga Cortland Madison BOCES</t>
  </si>
  <si>
    <t>Onondaga School of Therapeutic Massage-Rochester</t>
  </si>
  <si>
    <t>Onondaga School of Therapeutic Massage-Syracuse</t>
  </si>
  <si>
    <t>Opelousas School of Cosmetology</t>
  </si>
  <si>
    <t>Oral Roberts University</t>
  </si>
  <si>
    <t>Orange Coast College</t>
  </si>
  <si>
    <t>Orange County Community College</t>
  </si>
  <si>
    <t>Orange Technical College-Mid Florida Campus</t>
  </si>
  <si>
    <t>Orange Technical College-Orlando Campus</t>
  </si>
  <si>
    <t>Orange Technical College-Westside Campus</t>
  </si>
  <si>
    <t>Orange Technical College-Winter Park Campus</t>
  </si>
  <si>
    <t>Orange Ulster BOCES-Practical Nursing Program</t>
  </si>
  <si>
    <t>Orangeburg Calhoun Technical College</t>
  </si>
  <si>
    <t>Oregon Coast Community College</t>
  </si>
  <si>
    <t>Oregon College of Oriental Medicine</t>
  </si>
  <si>
    <t>Oregon Health &amp; Science University</t>
  </si>
  <si>
    <t>Oregon Institute of Technology</t>
  </si>
  <si>
    <t>Oregon State University</t>
  </si>
  <si>
    <t>Oregon State University-Cascades Campus</t>
  </si>
  <si>
    <t>Orion Institute</t>
  </si>
  <si>
    <t>Orion Technical College</t>
  </si>
  <si>
    <t>Orleans Niagara BOCES-Practical Nursing Program</t>
  </si>
  <si>
    <t>Orleans Technical College</t>
  </si>
  <si>
    <t>Orlo School of Hair Design and Cosmetology</t>
  </si>
  <si>
    <t>Osceola Technical College</t>
  </si>
  <si>
    <t>Otero Junior College</t>
  </si>
  <si>
    <t>Otis College of Art and Design</t>
  </si>
  <si>
    <t>Otsego Area BOCES-Practical Nursing Program</t>
  </si>
  <si>
    <t>Ottawa University-Kansas City</t>
  </si>
  <si>
    <t>Ottawa University-Milwaukee</t>
  </si>
  <si>
    <t>Ottawa University-Online</t>
  </si>
  <si>
    <t>Ottawa University-Ottawa</t>
  </si>
  <si>
    <t>Ottawa University-Phoenix</t>
  </si>
  <si>
    <t>Ottawa University-Surprise</t>
  </si>
  <si>
    <t>Otterbein University</t>
  </si>
  <si>
    <t>Ouachita Baptist University</t>
  </si>
  <si>
    <t>Our Lady of the Lake University</t>
  </si>
  <si>
    <t>Owens Community College</t>
  </si>
  <si>
    <t>Owensboro Community and Technical College</t>
  </si>
  <si>
    <t>Oxford Academy of Hair Design Inc</t>
  </si>
  <si>
    <t>Oxnard College</t>
  </si>
  <si>
    <t>Ozark Christian College</t>
  </si>
  <si>
    <t>Ozarka College</t>
  </si>
  <si>
    <t>Ozarks Technical Community College</t>
  </si>
  <si>
    <t>P B Cosmetology Education Center</t>
  </si>
  <si>
    <t>P C Age-Jersey City</t>
  </si>
  <si>
    <t>P&amp;A Scholars Beauty School</t>
  </si>
  <si>
    <t>Pace University</t>
  </si>
  <si>
    <t>Pacific Bible College</t>
  </si>
  <si>
    <t>Pacific College</t>
  </si>
  <si>
    <t>Pacific College of Health and Science</t>
  </si>
  <si>
    <t>Pacific College of Health Science-Chicago</t>
  </si>
  <si>
    <t>Pacific Islands University</t>
  </si>
  <si>
    <t>Pacific Lutheran University</t>
  </si>
  <si>
    <t>Pacific Northwest College of Art</t>
  </si>
  <si>
    <t>Pacific Northwest University of Health Sciences</t>
  </si>
  <si>
    <t>Pacific Oaks College</t>
  </si>
  <si>
    <t>Pacific Rim Christian University</t>
  </si>
  <si>
    <t>Pacific School of Religion</t>
  </si>
  <si>
    <t>Pacific States University</t>
  </si>
  <si>
    <t>Pacific Union College</t>
  </si>
  <si>
    <t>Pacific University</t>
  </si>
  <si>
    <t>Pacifica Graduate Institute</t>
  </si>
  <si>
    <t>Paier College</t>
  </si>
  <si>
    <t>Paine College</t>
  </si>
  <si>
    <t>Palace Beauty College</t>
  </si>
  <si>
    <t>Palau Community College</t>
  </si>
  <si>
    <t>Palladium Technical Academy Inc</t>
  </si>
  <si>
    <t>Palm Beach Academy of Health &amp; Beauty</t>
  </si>
  <si>
    <t>Palm Beach Atlantic University</t>
  </si>
  <si>
    <t>Palm Beach State College</t>
  </si>
  <si>
    <t>Palmer College of Chiropractic</t>
  </si>
  <si>
    <t>Palo Alto College</t>
  </si>
  <si>
    <t>Palo Alto University</t>
  </si>
  <si>
    <t>Palo Verde College</t>
  </si>
  <si>
    <t>Palomar College</t>
  </si>
  <si>
    <t>Palomar Institute of Cosmetology</t>
  </si>
  <si>
    <t>Pamlico Community College</t>
  </si>
  <si>
    <t>Panache Academy of Beauty</t>
  </si>
  <si>
    <t>Panola College</t>
  </si>
  <si>
    <t>Paradise Valley Community College</t>
  </si>
  <si>
    <t>Paramount Beauty Academy</t>
  </si>
  <si>
    <t>Pardee RAND Graduate School</t>
  </si>
  <si>
    <t>Paris Junior College</t>
  </si>
  <si>
    <t>Parisian Beauty School</t>
  </si>
  <si>
    <t>Parisian Spa Institute</t>
  </si>
  <si>
    <t>Park Place Premier Barber School</t>
  </si>
  <si>
    <t>Park University</t>
  </si>
  <si>
    <t>Parker University</t>
  </si>
  <si>
    <t>Parkland College</t>
  </si>
  <si>
    <t>Paroba College of Cosmetology</t>
  </si>
  <si>
    <t>Pasadena City College</t>
  </si>
  <si>
    <t>Pasco-Hernando State College</t>
  </si>
  <si>
    <t>Passaic County Community College</t>
  </si>
  <si>
    <t>Pat Goins Benton Road Beauty School</t>
  </si>
  <si>
    <t>Pathway Vocational Academy</t>
  </si>
  <si>
    <t>Pathways College</t>
  </si>
  <si>
    <t>Patrick Henry College</t>
  </si>
  <si>
    <t>Patrick Henry Community College</t>
  </si>
  <si>
    <t>Paul D Camp Community College</t>
  </si>
  <si>
    <t>Paul Mitchell the School-Arkansas</t>
  </si>
  <si>
    <t>Paul Mitchell the School-Arlington</t>
  </si>
  <si>
    <t>Paul Mitchell the School-Atlanta</t>
  </si>
  <si>
    <t>Paul Mitchell the School-Austin</t>
  </si>
  <si>
    <t>Paul Mitchell the School-Birmingham</t>
  </si>
  <si>
    <t>Paul Mitchell the School-Boise</t>
  </si>
  <si>
    <t>Paul Mitchell the School-Bradley</t>
  </si>
  <si>
    <t>Paul Mitchell the School-Charleston</t>
  </si>
  <si>
    <t>Paul Mitchell the School-Chicago</t>
  </si>
  <si>
    <t>Paul Mitchell the School-Cincinnati</t>
  </si>
  <si>
    <t>Paul Mitchell the School-Clear Lake</t>
  </si>
  <si>
    <t>Paul Mitchell the School-Cleveland</t>
  </si>
  <si>
    <t>Paul Mitchell the School-Colorado Springs</t>
  </si>
  <si>
    <t>Paul Mitchell the School-Columbia</t>
  </si>
  <si>
    <t>Paul Mitchell the School-Columbus</t>
  </si>
  <si>
    <t>Paul Mitchell the School-Costa Mesa</t>
  </si>
  <si>
    <t>Paul Mitchell the School-Dallas</t>
  </si>
  <si>
    <t>Paul Mitchell the School-Delaware</t>
  </si>
  <si>
    <t>Paul Mitchell the School-Denver</t>
  </si>
  <si>
    <t>Paul Mitchell the School-East Bay</t>
  </si>
  <si>
    <t>Paul Mitchell the School-Esani</t>
  </si>
  <si>
    <t>Paul Mitchell The School-Farmington Hills</t>
  </si>
  <si>
    <t>Paul Mitchell the School-Fayetteville</t>
  </si>
  <si>
    <t>Paul Mitchell the School-Fort Lauderdale</t>
  </si>
  <si>
    <t>Paul Mitchell the School-Fort Myers</t>
  </si>
  <si>
    <t>Paul Mitchell the School-Fresno</t>
  </si>
  <si>
    <t>Paul Mitchell the School-Gastonia</t>
  </si>
  <si>
    <t>Paul Mitchell the School-Grand Rapids</t>
  </si>
  <si>
    <t>Paul Mitchell the School-Great Lakes</t>
  </si>
  <si>
    <t>Paul Mitchell the School-Greenville</t>
  </si>
  <si>
    <t>Paul Mitchell the School-Honolulu</t>
  </si>
  <si>
    <t>Paul Mitchell the School-Houston</t>
  </si>
  <si>
    <t>Paul Mitchell the School-Huntsville</t>
  </si>
  <si>
    <t>Paul Mitchell the School-Indianapolis</t>
  </si>
  <si>
    <t>Paul Mitchell the School-Jacksonville</t>
  </si>
  <si>
    <t>Paul Mitchell the School-Jersey Shore</t>
  </si>
  <si>
    <t>Paul Mitchell the School-Jessup</t>
  </si>
  <si>
    <t>Paul Mitchell the School-Knoxville</t>
  </si>
  <si>
    <t>Paul Mitchell the School-Las Vegas</t>
  </si>
  <si>
    <t>Paul Mitchell the School-Lexington</t>
  </si>
  <si>
    <t>Paul Mitchell the School-Little Rock</t>
  </si>
  <si>
    <t>Paul Mitchell the School-Logan</t>
  </si>
  <si>
    <t>Paul Mitchell the School-Lombard</t>
  </si>
  <si>
    <t>Paul Mitchell the School-Louisville</t>
  </si>
  <si>
    <t>Paul Mitchell the School-Madison</t>
  </si>
  <si>
    <t>Paul Mitchell the School-Memphis</t>
  </si>
  <si>
    <t>Paul Mitchell the School-Merrillville</t>
  </si>
  <si>
    <t>Paul Mitchell the School-Miami</t>
  </si>
  <si>
    <t>Paul Mitchell the School-Michigan</t>
  </si>
  <si>
    <t>Paul Mitchell the School-Milwaukee</t>
  </si>
  <si>
    <t>Paul Mitchell the School-Missouri Columbia</t>
  </si>
  <si>
    <t>Paul Mitchell the School-Modesto</t>
  </si>
  <si>
    <t>Paul Mitchell the School-Murfreesboro</t>
  </si>
  <si>
    <t>Paul Mitchell the School-Murfreesboro-Nashville</t>
  </si>
  <si>
    <t>Paul Mitchell the School-Nampa</t>
  </si>
  <si>
    <t>Paul Mitchell the School-Normal</t>
  </si>
  <si>
    <t>Paul Mitchell the School-North Haven</t>
  </si>
  <si>
    <t>Paul Mitchell the School-Ogden</t>
  </si>
  <si>
    <t>Paul Mitchell the School-Orlando</t>
  </si>
  <si>
    <t>Paul Mitchell the School-Overland Park</t>
  </si>
  <si>
    <t>Paul Mitchell the School-Pasadena</t>
  </si>
  <si>
    <t>Paul Mitchell the School-Phoenix</t>
  </si>
  <si>
    <t>Paul Mitchell the School-Portsmouth</t>
  </si>
  <si>
    <t>Paul Mitchell the School-Raleigh</t>
  </si>
  <si>
    <t>Paul Mitchell the School-Rapid City</t>
  </si>
  <si>
    <t>Paul Mitchell the School-Reno</t>
  </si>
  <si>
    <t>Paul Mitchell the School-Reno-North Tahoe</t>
  </si>
  <si>
    <t>Paul Mitchell the School-Rexburg</t>
  </si>
  <si>
    <t>Paul Mitchell the School-Rhode Island</t>
  </si>
  <si>
    <t>Paul Mitchell the School-Richland</t>
  </si>
  <si>
    <t>Paul Mitchell the School-Richland-Provo</t>
  </si>
  <si>
    <t>Paul Mitchell the School-Roanoke</t>
  </si>
  <si>
    <t>Paul Mitchell the School-Sacramento</t>
  </si>
  <si>
    <t>Paul Mitchell the School-Salt Lake City</t>
  </si>
  <si>
    <t>Paul Mitchell the School-San Antonio</t>
  </si>
  <si>
    <t>Paul Mitchell the School-San Diego</t>
  </si>
  <si>
    <t>Paul Mitchell the School-San Jose</t>
  </si>
  <si>
    <t>Paul Mitchell the School-Schenectady</t>
  </si>
  <si>
    <t>Paul Mitchell the School-Sherman Oaks</t>
  </si>
  <si>
    <t>Paul Mitchell the School-Spokane</t>
  </si>
  <si>
    <t>Paul Mitchell the School-Springfield</t>
  </si>
  <si>
    <t>Paul Mitchell the School-St Louis</t>
  </si>
  <si>
    <t>Paul Mitchell the School-St. George</t>
  </si>
  <si>
    <t>Paul Mitchell the School-Tampa</t>
  </si>
  <si>
    <t>Paul Mitchell the School-Temecula</t>
  </si>
  <si>
    <t>Paul Mitchell the School-Toledo</t>
  </si>
  <si>
    <t>Paul Mitchell the School-Tulsa</t>
  </si>
  <si>
    <t>Paul Mitchell the School-Twin Falls</t>
  </si>
  <si>
    <t>Paul Mitchell the School-Tysons Corner</t>
  </si>
  <si>
    <t>Paul Mitchell the School-Wichita</t>
  </si>
  <si>
    <t>Paul Mitchell the School-Woodbridge</t>
  </si>
  <si>
    <t>Paul Quinn College</t>
  </si>
  <si>
    <t>Paul Smiths College of Arts and Science</t>
  </si>
  <si>
    <t>Payne Theological Seminary</t>
  </si>
  <si>
    <t>PC AGE-Metropark</t>
  </si>
  <si>
    <t>PCI Academy-Ames</t>
  </si>
  <si>
    <t>PCI Academy-Iowa City</t>
  </si>
  <si>
    <t>PCI Academy-Plymouth</t>
  </si>
  <si>
    <t>PCI College</t>
  </si>
  <si>
    <t>PCI Health Training Center</t>
  </si>
  <si>
    <t>Pearl River Community College</t>
  </si>
  <si>
    <t>Pearlands Innovative School of Beauty</t>
  </si>
  <si>
    <t>Peirce College</t>
  </si>
  <si>
    <t>Pellissippi State Community College</t>
  </si>
  <si>
    <t>Peloton College</t>
  </si>
  <si>
    <t>Peninsula College</t>
  </si>
  <si>
    <t>Penn Commercial Business/Technical School</t>
  </si>
  <si>
    <t>Pennco Tech-Blackwood</t>
  </si>
  <si>
    <t>Pennco Tech-Bristol</t>
  </si>
  <si>
    <t>Pennsylvania Academy of the Fine Arts</t>
  </si>
  <si>
    <t>Pennsylvania College of Art and Design</t>
  </si>
  <si>
    <t>Pennsylvania College of Health Sciences</t>
  </si>
  <si>
    <t>Pennsylvania College of Technology</t>
  </si>
  <si>
    <t>Pennsylvania Gunsmith School</t>
  </si>
  <si>
    <t>Pennsylvania Highlands Community College</t>
  </si>
  <si>
    <t>Pennsylvania Institute of Technology</t>
  </si>
  <si>
    <t>Pennsylvania State System of Higher Education-Central Office</t>
  </si>
  <si>
    <t>Penrose Academy</t>
  </si>
  <si>
    <t>Pensacola School of Massage Therapy &amp; Health Careers</t>
  </si>
  <si>
    <t>Pensacola State College</t>
  </si>
  <si>
    <t>Penta County Joint Vocational School</t>
  </si>
  <si>
    <t>Pentecostal Theological Seminary</t>
  </si>
  <si>
    <t>Pepperdine University</t>
  </si>
  <si>
    <t>Peralta Community College System Office</t>
  </si>
  <si>
    <t>Perry Technical Institute</t>
  </si>
  <si>
    <t>Peru State College</t>
  </si>
  <si>
    <t>Pets Playground Grooming School</t>
  </si>
  <si>
    <t>Pfeiffer University</t>
  </si>
  <si>
    <t>Phagans Beauty College</t>
  </si>
  <si>
    <t>Phagans Central Oregon Beauty College</t>
  </si>
  <si>
    <t>Phagans Grants Pass College of Beauty</t>
  </si>
  <si>
    <t>Phagans Medford Beauty School</t>
  </si>
  <si>
    <t>Phagans School of Beauty</t>
  </si>
  <si>
    <t>Phagans School of Hair Design</t>
  </si>
  <si>
    <t>Philadelphia College of Osteopathic Medicine</t>
  </si>
  <si>
    <t>Philadelphia Technician Training</t>
  </si>
  <si>
    <t>Philander Smith College</t>
  </si>
  <si>
    <t>Phillips Community College of the University of Arkansas</t>
  </si>
  <si>
    <t>Phillips School of Nursing at Mount Sinai Beth Israel</t>
  </si>
  <si>
    <t>Phillips Theological Seminary</t>
  </si>
  <si>
    <t>Phipps Academy of Barbering</t>
  </si>
  <si>
    <t>Phoenix College</t>
  </si>
  <si>
    <t>Phoenix Institute of Herbal Medicine &amp; Acupuncture</t>
  </si>
  <si>
    <t>Phoenix Seminary</t>
  </si>
  <si>
    <t>PiBerry Institute</t>
  </si>
  <si>
    <t>Pickaway Ross Joint Vocational School District</t>
  </si>
  <si>
    <t>Pickens Technical College</t>
  </si>
  <si>
    <t>Piedmont Community College</t>
  </si>
  <si>
    <t>Piedmont Technical College</t>
  </si>
  <si>
    <t>Piedmont University</t>
  </si>
  <si>
    <t>Piedmont Virginia Community College</t>
  </si>
  <si>
    <t>Pierce College District</t>
  </si>
  <si>
    <t>Pierpont Community and Technical College</t>
  </si>
  <si>
    <t>Pike County Joint Vocational School District</t>
  </si>
  <si>
    <t>Pike-Lincoln Technical Center</t>
  </si>
  <si>
    <t>Pikes Peak Community College</t>
  </si>
  <si>
    <t>Pillar College</t>
  </si>
  <si>
    <t>Pima Community College</t>
  </si>
  <si>
    <t>Pima Medical Institute-Albuquerque</t>
  </si>
  <si>
    <t>Pima Medical Institute-Albuquerque West</t>
  </si>
  <si>
    <t>Pima Medical Institute-Aurora</t>
  </si>
  <si>
    <t>Pima Medical Institute-Chula Vista</t>
  </si>
  <si>
    <t>Pima Medical Institute-Colorado Springs</t>
  </si>
  <si>
    <t>Pima Medical Institute-Denver</t>
  </si>
  <si>
    <t>Pima Medical Institute-Dillon</t>
  </si>
  <si>
    <t>Pima Medical Institute-East Valley</t>
  </si>
  <si>
    <t>Pima Medical Institute-El Paso</t>
  </si>
  <si>
    <t>Pima Medical Institute-Houston</t>
  </si>
  <si>
    <t>Pima Medical Institute-Las Vegas</t>
  </si>
  <si>
    <t>Pima Medical Institute-Mesa</t>
  </si>
  <si>
    <t>Pima Medical Institute-Phoenix</t>
  </si>
  <si>
    <t>Pima Medical Institute-Renton</t>
  </si>
  <si>
    <t>Pima Medical Institute-San Antonio</t>
  </si>
  <si>
    <t>Pima Medical Institute-San Marcos</t>
  </si>
  <si>
    <t>Pima Medical Institute-Seattle</t>
  </si>
  <si>
    <t>Pima Medical Institute-Tucson</t>
  </si>
  <si>
    <t>Pine Manor College</t>
  </si>
  <si>
    <t>Pine Technical &amp; Community College</t>
  </si>
  <si>
    <t>Pinellas Technical College-Clearwater</t>
  </si>
  <si>
    <t>Pinellas Technical College-St. Petersburg</t>
  </si>
  <si>
    <t>Pineville Beauty School</t>
  </si>
  <si>
    <t>Pinnacle Career Institute</t>
  </si>
  <si>
    <t>Pinnacle Institute of Cosmetology</t>
  </si>
  <si>
    <t>Pioneer Career and Technology Center</t>
  </si>
  <si>
    <t>Pioneer Technology Center</t>
  </si>
  <si>
    <t>Pipo Academy of Hair Design</t>
  </si>
  <si>
    <t>PITC Institute</t>
  </si>
  <si>
    <t>Pitt Community College</t>
  </si>
  <si>
    <t>Pittsburg State University</t>
  </si>
  <si>
    <t>Pittsburgh Career Institute</t>
  </si>
  <si>
    <t>Pittsburgh Institute of Aeronautics</t>
  </si>
  <si>
    <t>Pittsburgh Institute of Mortuary Science Inc</t>
  </si>
  <si>
    <t>Pittsburgh Technical College</t>
  </si>
  <si>
    <t>Pittsburgh Theological Seminary</t>
  </si>
  <si>
    <t>Pitzer College</t>
  </si>
  <si>
    <t>Pivot Point Academy</t>
  </si>
  <si>
    <t>PJ's College of Cosmetology-Bowling Green</t>
  </si>
  <si>
    <t>PJ's College of Cosmetology-Clarksville</t>
  </si>
  <si>
    <t>PJ's College of Cosmetology-Glasgow</t>
  </si>
  <si>
    <t>PJ's College of Cosmetology-Richmond</t>
  </si>
  <si>
    <t>Platt College-Anaheim</t>
  </si>
  <si>
    <t>Platt College-Aurora</t>
  </si>
  <si>
    <t>Platt College-Los Angeles</t>
  </si>
  <si>
    <t>Platt College-Ontario</t>
  </si>
  <si>
    <t>Platt College-Riverside</t>
  </si>
  <si>
    <t>Platt College-San Diego</t>
  </si>
  <si>
    <t>Plaza College</t>
  </si>
  <si>
    <t>Plymouth State University</t>
  </si>
  <si>
    <t>PMCA Pittsburgh Multicultural Cosmetology Academy</t>
  </si>
  <si>
    <t>Point Loma Nazarene University</t>
  </si>
  <si>
    <t>Point Park University</t>
  </si>
  <si>
    <t>Point University</t>
  </si>
  <si>
    <t>Polaris Career Center</t>
  </si>
  <si>
    <t>Polk State College</t>
  </si>
  <si>
    <t>Polytech Adult Education</t>
  </si>
  <si>
    <t>Polytechnic University of Puerto Rico-Miami</t>
  </si>
  <si>
    <t>Polytechnic University of Puerto Rico-Orlando</t>
  </si>
  <si>
    <t>Pomeroy College of Nursing at Crouse Hospital</t>
  </si>
  <si>
    <t>Pomona College</t>
  </si>
  <si>
    <t>Pomona Unified School District Adult and Career Education</t>
  </si>
  <si>
    <t>Ponca City Beauty College</t>
  </si>
  <si>
    <t>Ponce Health Sciences University</t>
  </si>
  <si>
    <t>Ponce Health Sciences University-Centro Universitario de San Juan</t>
  </si>
  <si>
    <t>Ponce Health Sciences University-East</t>
  </si>
  <si>
    <t>Ponce Health Sciences University-St Louis</t>
  </si>
  <si>
    <t>Pontifical Catholic University of Puerto Rico-Arecibo</t>
  </si>
  <si>
    <t>Pontifical Catholic University of Puerto Rico-Mayaguez</t>
  </si>
  <si>
    <t>Pontifical Catholic University of Puerto Rico-Ponce</t>
  </si>
  <si>
    <t>Pontifical College Josephinum</t>
  </si>
  <si>
    <t>Pontifical Faculty of the Immaculate Conception at the Dominican House of Studies</t>
  </si>
  <si>
    <t>Pontifical John Paul II Institute for Studies on Marriage and Family</t>
  </si>
  <si>
    <t>Pontotoc Technology Center</t>
  </si>
  <si>
    <t>Pope St John XXIII National Seminary</t>
  </si>
  <si>
    <t>Poplar Bluff Technical Career Center</t>
  </si>
  <si>
    <t>Port Huron Cosmetology College</t>
  </si>
  <si>
    <t>Portage Lakes Career Center</t>
  </si>
  <si>
    <t>Porter and Chester Institute</t>
  </si>
  <si>
    <t>Porter and Chester Institute of Hamden</t>
  </si>
  <si>
    <t>Porterville College</t>
  </si>
  <si>
    <t>Portland Actors Conservatory</t>
  </si>
  <si>
    <t>Portland Community College</t>
  </si>
  <si>
    <t>Portland State University</t>
  </si>
  <si>
    <t>Post University</t>
  </si>
  <si>
    <t>Potomac State College of West Virginia University</t>
  </si>
  <si>
    <t>Poway Adult School</t>
  </si>
  <si>
    <t>PPG Technical College</t>
  </si>
  <si>
    <t>Prairie State College</t>
  </si>
  <si>
    <t>Prairie View A &amp; M University</t>
  </si>
  <si>
    <t>Pratt Community College</t>
  </si>
  <si>
    <t>Pratt Institute-Main</t>
  </si>
  <si>
    <t>Praxis Institute</t>
  </si>
  <si>
    <t>Precision Manufacturing Institute</t>
  </si>
  <si>
    <t>Premier Academy of Cosmetology</t>
  </si>
  <si>
    <t>Premier Barber Institute</t>
  </si>
  <si>
    <t>Premiere Aesthetics Institute</t>
  </si>
  <si>
    <t>Premiere Career College</t>
  </si>
  <si>
    <t>Premiere International College</t>
  </si>
  <si>
    <t>Presbyterian College</t>
  </si>
  <si>
    <t>Presbyterian Theological Seminary in America</t>
  </si>
  <si>
    <t>Prescott College</t>
  </si>
  <si>
    <t>Presentation College</t>
  </si>
  <si>
    <t>Presidio Graduate School</t>
  </si>
  <si>
    <t>Prestige Health &amp; Beauty Sciences Academy</t>
  </si>
  <si>
    <t>Prince George's Community College</t>
  </si>
  <si>
    <t>Princess Institute of Beauty</t>
  </si>
  <si>
    <t>Princeton Theological Seminary</t>
  </si>
  <si>
    <t>Princeton University</t>
  </si>
  <si>
    <t>Principia College</t>
  </si>
  <si>
    <t>Prism Career Institute-Cherry Hill</t>
  </si>
  <si>
    <t>Prism Career Institute-Philadelphia</t>
  </si>
  <si>
    <t>Prism Career Institute-West Atlantic City</t>
  </si>
  <si>
    <t>Pro Beauty Academy</t>
  </si>
  <si>
    <t>Pro Way Hair School</t>
  </si>
  <si>
    <t>Professional Academy of Cosmetology</t>
  </si>
  <si>
    <t>Professional Cosmetology Education Center</t>
  </si>
  <si>
    <t>Professional Culinary Academy</t>
  </si>
  <si>
    <t>Professional Golfers Career College</t>
  </si>
  <si>
    <t>Professional Institute of Beauty</t>
  </si>
  <si>
    <t>Professional Skills Institute</t>
  </si>
  <si>
    <t>Professional Technical Institution</t>
  </si>
  <si>
    <t>Professional's Choice Hair Design Academy</t>
  </si>
  <si>
    <t>Profile Institute of Barber-Styling</t>
  </si>
  <si>
    <t>Protege Academy</t>
  </si>
  <si>
    <t>Providence Christian College</t>
  </si>
  <si>
    <t>Providence College</t>
  </si>
  <si>
    <t>Provo College</t>
  </si>
  <si>
    <t>Provo College-Idaho Falls Campus</t>
  </si>
  <si>
    <t>Pueblo Community College</t>
  </si>
  <si>
    <t>Puerto Rico School of Nurse Anesthetists</t>
  </si>
  <si>
    <t>Purdue University Fort Wayne</t>
  </si>
  <si>
    <t>Purdue University Global</t>
  </si>
  <si>
    <t>Purdue University Northwest</t>
  </si>
  <si>
    <t>Purdue University-Main Campus</t>
  </si>
  <si>
    <t>Pure Aesthetics Natural Skincare School</t>
  </si>
  <si>
    <t>Putnam Career and Technical Center</t>
  </si>
  <si>
    <t>Quality Technical and Beauty College</t>
  </si>
  <si>
    <t>Queen City College</t>
  </si>
  <si>
    <t>Queens University of Charlotte</t>
  </si>
  <si>
    <t>Quest College</t>
  </si>
  <si>
    <t>Quincy College</t>
  </si>
  <si>
    <t>Quincy University</t>
  </si>
  <si>
    <t>Quinebaug Valley Community College</t>
  </si>
  <si>
    <t>Quinnipiac University</t>
  </si>
  <si>
    <t>Quinsigamond Community College</t>
  </si>
  <si>
    <t>Rabbi Jacob Joseph School</t>
  </si>
  <si>
    <t>Rabbinical Academy Mesivta Rabbi Chaim Berlin</t>
  </si>
  <si>
    <t>Rabbinical College Beth Shraga</t>
  </si>
  <si>
    <t>Rabbinical College Bobover Yeshiva Bnei Zion</t>
  </si>
  <si>
    <t>Rabbinical College of America</t>
  </si>
  <si>
    <t>Rabbinical College of Long Island</t>
  </si>
  <si>
    <t>Rabbinical College of Ohr Shimon Yisroel</t>
  </si>
  <si>
    <t>Rabbinical College Ohr Yisroel</t>
  </si>
  <si>
    <t>Rabbinical College Telshe</t>
  </si>
  <si>
    <t>Rabbinical Seminary Mkor Chaim</t>
  </si>
  <si>
    <t>Rabbinical Seminary of America</t>
  </si>
  <si>
    <t>Radford M Locklin Technical College</t>
  </si>
  <si>
    <t>Radford University</t>
  </si>
  <si>
    <t>Rainy River Community College</t>
  </si>
  <si>
    <t>Ralph R Willis Career and Technical Center</t>
  </si>
  <si>
    <t>Ramapo College of New Jersey</t>
  </si>
  <si>
    <t>Rancho Santiago Community College District Office</t>
  </si>
  <si>
    <t>Randall University</t>
  </si>
  <si>
    <t>Randolph College</t>
  </si>
  <si>
    <t>Randolph Community College</t>
  </si>
  <si>
    <t>Randolph Technical Center</t>
  </si>
  <si>
    <t>Randolph-Macon College</t>
  </si>
  <si>
    <t>Ranger College</t>
  </si>
  <si>
    <t>Ranken Technical College</t>
  </si>
  <si>
    <t>Raphael's School of Beauty Culture Inc-Alliance</t>
  </si>
  <si>
    <t>Raphael's School of Beauty Culture Inc-Boardman</t>
  </si>
  <si>
    <t>Raphael's School of Beauty Culture Inc-Brunswick</t>
  </si>
  <si>
    <t>Raphael's School of Beauty Culture Inc-Niles</t>
  </si>
  <si>
    <t>Rappahannock Community College</t>
  </si>
  <si>
    <t>Raritan Valley Community College</t>
  </si>
  <si>
    <t>Rasmussen University-Florida</t>
  </si>
  <si>
    <t>Rasmussen University-Illinois</t>
  </si>
  <si>
    <t>Rasmussen University-Kansas</t>
  </si>
  <si>
    <t>Rasmussen University-Minnesota</t>
  </si>
  <si>
    <t>Rasmussen University-North Dakota</t>
  </si>
  <si>
    <t>Rasmussen University-Wisconsin</t>
  </si>
  <si>
    <t>Ravenscroft Beauty College</t>
  </si>
  <si>
    <t>Ray J's College of Hair</t>
  </si>
  <si>
    <t>Reading Area Community College</t>
  </si>
  <si>
    <t>Reading Hospital School of Health Sciences</t>
  </si>
  <si>
    <t>Reconstructionist Rabbinical College</t>
  </si>
  <si>
    <t>Red Lake Nation College</t>
  </si>
  <si>
    <t>Red River Technology Center</t>
  </si>
  <si>
    <t>Red Rocks Community College</t>
  </si>
  <si>
    <t>Redlands Community College</t>
  </si>
  <si>
    <t>Redondo Beach Beauty College</t>
  </si>
  <si>
    <t>Reed College</t>
  </si>
  <si>
    <t>Reedley College</t>
  </si>
  <si>
    <t>Reflections Academy of Beauty</t>
  </si>
  <si>
    <t>Reformed University</t>
  </si>
  <si>
    <t>Refrigeration School Inc</t>
  </si>
  <si>
    <t>Regan Career Institute</t>
  </si>
  <si>
    <t>Regent University</t>
  </si>
  <si>
    <t>Regina Webb Academy</t>
  </si>
  <si>
    <t>Regional Center for Border Health</t>
  </si>
  <si>
    <t>Regis College</t>
  </si>
  <si>
    <t>Regis University</t>
  </si>
  <si>
    <t>Reid State Technical College</t>
  </si>
  <si>
    <t>Reinhardt University</t>
  </si>
  <si>
    <t>Reiss-Davis Graduate School</t>
  </si>
  <si>
    <t>Relay Graduate School of Education</t>
  </si>
  <si>
    <t>Remington College-Baton Rouge Campus</t>
  </si>
  <si>
    <t>Remington College-Cleveland Campus</t>
  </si>
  <si>
    <t>Remington College-Dallas Campus</t>
  </si>
  <si>
    <t>Remington College-Fort Worth Campus</t>
  </si>
  <si>
    <t>Remington College-Houston Southeast Campus</t>
  </si>
  <si>
    <t>Remington College-Knoxville</t>
  </si>
  <si>
    <t>Remington College-Lafayette Campus</t>
  </si>
  <si>
    <t>Remington College-Little Rock Campus</t>
  </si>
  <si>
    <t>Remington College-Memphis Campus</t>
  </si>
  <si>
    <t>Remington College-Mobile Campus</t>
  </si>
  <si>
    <t>Remington College-Nashville Campus</t>
  </si>
  <si>
    <t>Remington College-North Houston Campus</t>
  </si>
  <si>
    <t>Remington College-Shreveport Campus</t>
  </si>
  <si>
    <t>Renaissance Academie</t>
  </si>
  <si>
    <t>Rend Lake College</t>
  </si>
  <si>
    <t>Rensselaer at Hartford</t>
  </si>
  <si>
    <t>Rensselaer Polytechnic Institute</t>
  </si>
  <si>
    <t>Renton Technical College</t>
  </si>
  <si>
    <t>Research College of Nursing</t>
  </si>
  <si>
    <t>Rexburg College of Massage Therapy</t>
  </si>
  <si>
    <t>Rhode Island College</t>
  </si>
  <si>
    <t>Rhode Island School of Design</t>
  </si>
  <si>
    <t>Rhodes College</t>
  </si>
  <si>
    <t>Ricci's Toni &amp; Guy Hairdressing Academy/TIGI Creative School</t>
  </si>
  <si>
    <t>Rice University</t>
  </si>
  <si>
    <t>Richard Bland College</t>
  </si>
  <si>
    <t>Richland Community College</t>
  </si>
  <si>
    <t>Richmond Community College</t>
  </si>
  <si>
    <t>Richmont Graduate University</t>
  </si>
  <si>
    <t>Richport Technical College</t>
  </si>
  <si>
    <t>Rider University</t>
  </si>
  <si>
    <t>Ridge Technical College</t>
  </si>
  <si>
    <t>Ridgewater College</t>
  </si>
  <si>
    <t>Riggins Urban Barber College</t>
  </si>
  <si>
    <t>Ringling College of Art and Design</t>
  </si>
  <si>
    <t>Rio Grande Valley College</t>
  </si>
  <si>
    <t>Rio Hondo College</t>
  </si>
  <si>
    <t>Rio Salado College</t>
  </si>
  <si>
    <t>Ripon College</t>
  </si>
  <si>
    <t>River Parishes Community College</t>
  </si>
  <si>
    <t>River Valley Community College</t>
  </si>
  <si>
    <t>River Valley School of Massage</t>
  </si>
  <si>
    <t>Riverland Community College</t>
  </si>
  <si>
    <t>Riveroak Technical College</t>
  </si>
  <si>
    <t>Riverside City College</t>
  </si>
  <si>
    <t>Riverside College of Health Careers</t>
  </si>
  <si>
    <t>Riverside County Office of Education-School of Career Education</t>
  </si>
  <si>
    <t>Rivertown School of Beauty Barber Skin Care and Nails</t>
  </si>
  <si>
    <t>Rivier University</t>
  </si>
  <si>
    <t>Rizzieri Aveda School for Beauty and Wellness</t>
  </si>
  <si>
    <t>Roane State Community College</t>
  </si>
  <si>
    <t>Roane-Jackson Technical Center</t>
  </si>
  <si>
    <t>Roanoke College</t>
  </si>
  <si>
    <t>Roanoke-Chowan Community College</t>
  </si>
  <si>
    <t>Rob Roy Academy-Fall River</t>
  </si>
  <si>
    <t>Rob Roy Academy-New Bedford</t>
  </si>
  <si>
    <t>Rob Roy Academy-Taunton</t>
  </si>
  <si>
    <t>Rob Roy Academy-Worcester</t>
  </si>
  <si>
    <t>Robert Fiance Beauty Schools</t>
  </si>
  <si>
    <t>Robert Fiance Beauty Schools-North Plainfield</t>
  </si>
  <si>
    <t>Robert Fiance Beauty Schools-West New York</t>
  </si>
  <si>
    <t>Robert Morgan Educational Center and Technical College</t>
  </si>
  <si>
    <t>Robert Morris University</t>
  </si>
  <si>
    <t>Robert Paul Academy of Cosmetology Arts &amp; Sciences</t>
  </si>
  <si>
    <t>Roberto-Venn School of Luthiery</t>
  </si>
  <si>
    <t>Roberts Wesleyan College</t>
  </si>
  <si>
    <t>Robeson Community College</t>
  </si>
  <si>
    <t>Rochester Community and Technical College</t>
  </si>
  <si>
    <t>Rochester Institute of Technology</t>
  </si>
  <si>
    <t>Rochester University</t>
  </si>
  <si>
    <t>Rock Valley College</t>
  </si>
  <si>
    <t>Rockefeller University</t>
  </si>
  <si>
    <t>Rockford University</t>
  </si>
  <si>
    <t>Rockhurst University</t>
  </si>
  <si>
    <t>Rockingham Community College</t>
  </si>
  <si>
    <t>Rockland Community College</t>
  </si>
  <si>
    <t>Rockland County BOCES-Practical Nursing Program</t>
  </si>
  <si>
    <t>Rocky Mountain College</t>
  </si>
  <si>
    <t>Rocky Mountain College of Art and Design</t>
  </si>
  <si>
    <t>Rocky Mountain University of Health Professions</t>
  </si>
  <si>
    <t>Rocky Vista University</t>
  </si>
  <si>
    <t>Roger Williams University</t>
  </si>
  <si>
    <t>Roger Williams University School of Law</t>
  </si>
  <si>
    <t>Rogers Academy of Hair Design</t>
  </si>
  <si>
    <t>Rogers State University</t>
  </si>
  <si>
    <t>Rogue Community College</t>
  </si>
  <si>
    <t>Rolla Technical Institute/Center</t>
  </si>
  <si>
    <t>Rollins College</t>
  </si>
  <si>
    <t>Roosevelt University</t>
  </si>
  <si>
    <t>Rosalind Franklin University of Medicine and Science</t>
  </si>
  <si>
    <t>Rose State College</t>
  </si>
  <si>
    <t>Rosedale Bible College</t>
  </si>
  <si>
    <t>Rosedale Technical College</t>
  </si>
  <si>
    <t>Rose-Hulman Institute of Technology</t>
  </si>
  <si>
    <t>Rosel School of Cosmetology</t>
  </si>
  <si>
    <t>Roseman University of Health Sciences</t>
  </si>
  <si>
    <t>Rosemead Beauty School</t>
  </si>
  <si>
    <t>Rosemont College</t>
  </si>
  <si>
    <t>Ross College-Canton</t>
  </si>
  <si>
    <t>Ross College-Davenport</t>
  </si>
  <si>
    <t>Ross College-Grand Rapids North</t>
  </si>
  <si>
    <t>Ross College-Hopkinsville</t>
  </si>
  <si>
    <t>Ross College-Sylvania</t>
  </si>
  <si>
    <t>Ross Medical Education Center - Kalamazoo</t>
  </si>
  <si>
    <t>Ross Medical Education Center-Ann Arbor</t>
  </si>
  <si>
    <t>Ross Medical Education Center-Battle Creek</t>
  </si>
  <si>
    <t>Ross Medical Education Center-Bowling Green</t>
  </si>
  <si>
    <t>Ross Medical Education Center-Brighton</t>
  </si>
  <si>
    <t>Ross Medical Education Center-Canton</t>
  </si>
  <si>
    <t>Ross Medical Education Center-Charleston</t>
  </si>
  <si>
    <t>Ross Medical Education Center-Cincinnati</t>
  </si>
  <si>
    <t>Ross Medical Education Center-Davison</t>
  </si>
  <si>
    <t>Ross Medical Education Center-Dayton</t>
  </si>
  <si>
    <t>Ross Medical Education Center-Elyria</t>
  </si>
  <si>
    <t>Ross Medical Education Center-Erlanger</t>
  </si>
  <si>
    <t>Ross Medical Education Center-Evansville</t>
  </si>
  <si>
    <t>Ross Medical Education Center-Flint</t>
  </si>
  <si>
    <t>Ross Medical Education Center-Fort Wayne</t>
  </si>
  <si>
    <t>Ross Medical Education Center-Granger</t>
  </si>
  <si>
    <t>Ross Medical Education Center-Huntsville</t>
  </si>
  <si>
    <t>Ross Medical Education Center-Johnson City</t>
  </si>
  <si>
    <t>Ross Medical Education Center-Kentwood</t>
  </si>
  <si>
    <t>Ross Medical Education Center-Knoxville</t>
  </si>
  <si>
    <t>Ross Medical Education Center-Kokomo</t>
  </si>
  <si>
    <t>Ross Medical Education Center-Lafayette</t>
  </si>
  <si>
    <t>Ross Medical Education Center-Lansing</t>
  </si>
  <si>
    <t>Ross Medical Education Center-Midland</t>
  </si>
  <si>
    <t>Ross Medical Education Center-Morgantown</t>
  </si>
  <si>
    <t>Ross Medical Education Center-Muncie</t>
  </si>
  <si>
    <t>Ross Medical Education Center-New Baltimore</t>
  </si>
  <si>
    <t>Ross Medical Education Center-Niles</t>
  </si>
  <si>
    <t>Ross Medical Education Center-Ontario</t>
  </si>
  <si>
    <t>Ross Medical Education Center-Owensboro</t>
  </si>
  <si>
    <t>Ross Medical Education Center-Port Huron</t>
  </si>
  <si>
    <t>Ross Medical Education Center-Roosevelt Park</t>
  </si>
  <si>
    <t>Ross Medical Education Center-Saginaw</t>
  </si>
  <si>
    <t>Ross Medical Education Center-Taylor</t>
  </si>
  <si>
    <t>Ross Medical Education Center-Warren</t>
  </si>
  <si>
    <t>Rosslyn Training Academy of Cosmetology</t>
  </si>
  <si>
    <t>Rowan College at Burlington County</t>
  </si>
  <si>
    <t>Rowan College of South Jersey Gloucester Campus</t>
  </si>
  <si>
    <t>Rowan College South Jersey Cumberland Campus</t>
  </si>
  <si>
    <t>Rowan University</t>
  </si>
  <si>
    <t>Rowan-Cabarrus Community College</t>
  </si>
  <si>
    <t>Roxborough Memorial Hospital School of Nursing</t>
  </si>
  <si>
    <t>Roxbury Community College</t>
  </si>
  <si>
    <t>Royal Learning Institute</t>
  </si>
  <si>
    <t>Ruben's Five Star Academy</t>
  </si>
  <si>
    <t>Rudae's School of Beauty Culture-Ft Wayne</t>
  </si>
  <si>
    <t>Rudy &amp; Kelly Academy, A Paul Mitchell Partner School</t>
  </si>
  <si>
    <t>Rush University</t>
  </si>
  <si>
    <t>Russell Sage College</t>
  </si>
  <si>
    <t>Rust College</t>
  </si>
  <si>
    <t>Rutgers University-Camden</t>
  </si>
  <si>
    <t>Rutgers University-New Brunswick</t>
  </si>
  <si>
    <t>Rutgers University-Newark</t>
  </si>
  <si>
    <t>SABER College</t>
  </si>
  <si>
    <t>Sacramento City College</t>
  </si>
  <si>
    <t>Sacramento Ultrasound Institute</t>
  </si>
  <si>
    <t>Sacred Heart Major Seminary</t>
  </si>
  <si>
    <t>Sacred Heart Seminary and School of Theology</t>
  </si>
  <si>
    <t>Sacred Heart University</t>
  </si>
  <si>
    <t>Saddleback College</t>
  </si>
  <si>
    <t>SAE Expression College</t>
  </si>
  <si>
    <t>SAE Institute of Technology-Atlanta</t>
  </si>
  <si>
    <t>SAE Institute of Technology-Chicago</t>
  </si>
  <si>
    <t>SAE Institute of Technology-Miami</t>
  </si>
  <si>
    <t>SAE Institute of Technology-Nashville</t>
  </si>
  <si>
    <t>SAE Institute of Technology-New York</t>
  </si>
  <si>
    <t>Sage School of Massage &amp; Esthetics</t>
  </si>
  <si>
    <t>Saginaw Chippewa Tribal College</t>
  </si>
  <si>
    <t>Saginaw Valley State University</t>
  </si>
  <si>
    <t>Saint Ambrose University</t>
  </si>
  <si>
    <t>Saint Anselm College</t>
  </si>
  <si>
    <t>Saint Anthony College of Nursing</t>
  </si>
  <si>
    <t>Saint Augustine's University</t>
  </si>
  <si>
    <t>Saint Charles Borromeo Seminary-Overbrook</t>
  </si>
  <si>
    <t>Saint Cloud State University</t>
  </si>
  <si>
    <t>Saint Edward's University</t>
  </si>
  <si>
    <t>Saint Elizabeth College of Nursing</t>
  </si>
  <si>
    <t>Saint Elizabeth School of Nursing</t>
  </si>
  <si>
    <t>Saint Elizabeth University</t>
  </si>
  <si>
    <t>Saint Francis Medical Center College of Nursing</t>
  </si>
  <si>
    <t>Saint Francis Medical Center School of Nursing</t>
  </si>
  <si>
    <t>Saint Francis University</t>
  </si>
  <si>
    <t>Saint John Fisher College</t>
  </si>
  <si>
    <t>Saint Johns River State College</t>
  </si>
  <si>
    <t>Saint John's Seminary</t>
  </si>
  <si>
    <t>Saint Johns University</t>
  </si>
  <si>
    <t>Saint Joseph Seminary College</t>
  </si>
  <si>
    <t>Saint Joseph's College of Maine</t>
  </si>
  <si>
    <t>Saint Joseph's University</t>
  </si>
  <si>
    <t>Saint Leo University</t>
  </si>
  <si>
    <t>Saint Louis Christian College</t>
  </si>
  <si>
    <t>Saint Louis Community College</t>
  </si>
  <si>
    <t>Saint Louis University</t>
  </si>
  <si>
    <t>Saint Martin's University</t>
  </si>
  <si>
    <t>Saint Mary-of-the-Woods College</t>
  </si>
  <si>
    <t>Saint Mary's College</t>
  </si>
  <si>
    <t>Saint Mary's College of California</t>
  </si>
  <si>
    <t>Saint Mary's University of Minnesota</t>
  </si>
  <si>
    <t>Saint Meinrad School of Theology</t>
  </si>
  <si>
    <t>Saint Michael College of Allied Health</t>
  </si>
  <si>
    <t>Saint Michael's College</t>
  </si>
  <si>
    <t>Saint Norbert College</t>
  </si>
  <si>
    <t>Saint Paul College</t>
  </si>
  <si>
    <t>Saint Paul School of Theology</t>
  </si>
  <si>
    <t>Saint Peter's University</t>
  </si>
  <si>
    <t>Saint Vincent College</t>
  </si>
  <si>
    <t>Saint Vincent de Paul Regional Seminary</t>
  </si>
  <si>
    <t>Saint Vincent Seminary</t>
  </si>
  <si>
    <t>Saint Vladimirs Orthodox Theological Seminary</t>
  </si>
  <si>
    <t>Saint Xavier University</t>
  </si>
  <si>
    <t>Salem College</t>
  </si>
  <si>
    <t>Salem College of Hairstyling</t>
  </si>
  <si>
    <t>Salem Community College</t>
  </si>
  <si>
    <t>Salem State University</t>
  </si>
  <si>
    <t>Salem University</t>
  </si>
  <si>
    <t>Salina Area Technical College</t>
  </si>
  <si>
    <t>Saline County Career Center</t>
  </si>
  <si>
    <t>Salisbury University</t>
  </si>
  <si>
    <t>Salish Kootenai College</t>
  </si>
  <si>
    <t>Salon &amp; Spa Institute</t>
  </si>
  <si>
    <t>Salon Boutique Academy</t>
  </si>
  <si>
    <t>Salon Institute-Toledo Campus</t>
  </si>
  <si>
    <t>Salon Professional Academy of San Antonio</t>
  </si>
  <si>
    <t>Salon Professional Academy-Elevate Salon Institute</t>
  </si>
  <si>
    <t>Salon Success Academy-Corona</t>
  </si>
  <si>
    <t>Salon Success Academy-Fontana</t>
  </si>
  <si>
    <t>Salon Success Academy-Redlands</t>
  </si>
  <si>
    <t>Salon Success Academy-Riverside</t>
  </si>
  <si>
    <t>Salon Success Academy-Upland</t>
  </si>
  <si>
    <t>Salon Success Academy-West Covina</t>
  </si>
  <si>
    <t>Salt Lake Community College</t>
  </si>
  <si>
    <t>Salus University</t>
  </si>
  <si>
    <t>Salve Regina University</t>
  </si>
  <si>
    <t>Sam Houston State University</t>
  </si>
  <si>
    <t>Samaritan Hospital School of Nursing</t>
  </si>
  <si>
    <t>Samford University</t>
  </si>
  <si>
    <t>Sampson Community College</t>
  </si>
  <si>
    <t>Samuel Merritt University</t>
  </si>
  <si>
    <t>San Antonio College</t>
  </si>
  <si>
    <t>San Bernardino Beauty College</t>
  </si>
  <si>
    <t>San Bernardino Community College District</t>
  </si>
  <si>
    <t>San Bernardino Valley College</t>
  </si>
  <si>
    <t>San Diego Christian College</t>
  </si>
  <si>
    <t>San Diego City College</t>
  </si>
  <si>
    <t>San Diego Community College District-District Office</t>
  </si>
  <si>
    <t>San Diego Global Knowledge University</t>
  </si>
  <si>
    <t>San Diego Mesa College</t>
  </si>
  <si>
    <t>San Diego Miramar College</t>
  </si>
  <si>
    <t>San Diego State University</t>
  </si>
  <si>
    <t>San Francisco Art Institute</t>
  </si>
  <si>
    <t>San Francisco Bay University</t>
  </si>
  <si>
    <t>San Francisco Conservatory of Music</t>
  </si>
  <si>
    <t>San Francisco Film School</t>
  </si>
  <si>
    <t>San Francisco Institute of Esthetics &amp; Cosmetology Inc</t>
  </si>
  <si>
    <t>San Francisco State University</t>
  </si>
  <si>
    <t>San Ignacio University</t>
  </si>
  <si>
    <t>San Jacinto Community College</t>
  </si>
  <si>
    <t>San Joaquin College of Law</t>
  </si>
  <si>
    <t>San Joaquin Delta College</t>
  </si>
  <si>
    <t>San Joaquin Valley College-Atascadero</t>
  </si>
  <si>
    <t>San Joaquin Valley College-Bakersfield</t>
  </si>
  <si>
    <t>San Joaquin Valley College-Central Administrative Office</t>
  </si>
  <si>
    <t>San Joaquin Valley College-Delano</t>
  </si>
  <si>
    <t>San Joaquin Valley College-Fresno</t>
  </si>
  <si>
    <t>San Joaquin Valley College-Fresno Aviation</t>
  </si>
  <si>
    <t>San Joaquin Valley College-Hanford Classroom</t>
  </si>
  <si>
    <t>San Joaquin Valley College-Hesperia</t>
  </si>
  <si>
    <t>San Joaquin Valley College-Lancaster</t>
  </si>
  <si>
    <t>San Joaquin Valley College-Madera</t>
  </si>
  <si>
    <t>San Joaquin Valley College-Modesto</t>
  </si>
  <si>
    <t>San Joaquin Valley College-Ontario</t>
  </si>
  <si>
    <t>San Joaquin Valley College-Porterville</t>
  </si>
  <si>
    <t>San Joaquin Valley College-Rancho Cordova</t>
  </si>
  <si>
    <t>San Joaquin Valley College-Rancho Mirage</t>
  </si>
  <si>
    <t>San Joaquin Valley College-Santa Maria</t>
  </si>
  <si>
    <t>San Joaquin Valley College-Temecula</t>
  </si>
  <si>
    <t>San Joaquin Valley College-Visalia</t>
  </si>
  <si>
    <t>San Jose City College</t>
  </si>
  <si>
    <t>San Jose State University</t>
  </si>
  <si>
    <t>San Jose-Evergreen Community College District</t>
  </si>
  <si>
    <t>San Juan Bautista School of Medicine</t>
  </si>
  <si>
    <t>San Juan College</t>
  </si>
  <si>
    <t>San Mateo County Community College District Office</t>
  </si>
  <si>
    <t>Sandhills Community College</t>
  </si>
  <si>
    <t>Sandra Academy of Salon Services</t>
  </si>
  <si>
    <t>Sandusky Career Center</t>
  </si>
  <si>
    <t>Sanford Burnham Prebys Medical Discovery Institute</t>
  </si>
  <si>
    <t>Sanford Medical Center</t>
  </si>
  <si>
    <t>SANS Technology Institute</t>
  </si>
  <si>
    <t>Santa Ana Beauty Academy</t>
  </si>
  <si>
    <t>Santa Ana Beauty College</t>
  </si>
  <si>
    <t>Santa Ana College</t>
  </si>
  <si>
    <t>Santa Barbara Business College-Bakersfield</t>
  </si>
  <si>
    <t>Santa Barbara Business College-Santa Maria</t>
  </si>
  <si>
    <t>Santa Barbara City College</t>
  </si>
  <si>
    <t>Santa Clara University</t>
  </si>
  <si>
    <t>Santa Fe College</t>
  </si>
  <si>
    <t>Santa Fe Community College</t>
  </si>
  <si>
    <t>Santa Monica College</t>
  </si>
  <si>
    <t>Santa Rosa Junior College</t>
  </si>
  <si>
    <t>Santiago Canyon College</t>
  </si>
  <si>
    <t>Sarah Lawrence College</t>
  </si>
  <si>
    <t>Sarasota School of Massage Therapy</t>
  </si>
  <si>
    <t>Sauk Valley Community College</t>
  </si>
  <si>
    <t>Savannah College of Art and Design</t>
  </si>
  <si>
    <t>Savannah State University</t>
  </si>
  <si>
    <t>Savannah Technical College</t>
  </si>
  <si>
    <t>Saybrook University</t>
  </si>
  <si>
    <t>Schenectady County Community College</t>
  </si>
  <si>
    <t>Schiller International University</t>
  </si>
  <si>
    <t>Schilling-Douglas School of Hair Design LLC</t>
  </si>
  <si>
    <t>School of Automotive Machinists &amp; Technology</t>
  </si>
  <si>
    <t>School of Missionary Aviation Technology</t>
  </si>
  <si>
    <t>School of Professional Horticulture, New York Botanical Garden</t>
  </si>
  <si>
    <t>School of the Art Institute of Chicago</t>
  </si>
  <si>
    <t>School of Visual Arts</t>
  </si>
  <si>
    <t>Schoolcraft College</t>
  </si>
  <si>
    <t>Schreiner University</t>
  </si>
  <si>
    <t>Schuyler Steuben Chemung Tioga Allegany BOCES</t>
  </si>
  <si>
    <t>Schuylkill Technology Center</t>
  </si>
  <si>
    <t>Scioto County Career Technical Center</t>
  </si>
  <si>
    <t>Scottsdale Community College</t>
  </si>
  <si>
    <t>Scripps College</t>
  </si>
  <si>
    <t>Searcy Beauty College</t>
  </si>
  <si>
    <t>Seattle Central College</t>
  </si>
  <si>
    <t>Seattle Film Institute</t>
  </si>
  <si>
    <t>Seattle Institute of East Asian Medicine</t>
  </si>
  <si>
    <t>Seattle Pacific University</t>
  </si>
  <si>
    <t>Seattle University</t>
  </si>
  <si>
    <t>Sebring Career Schools-Houston</t>
  </si>
  <si>
    <t>Sebring Career Schools-Huntsville</t>
  </si>
  <si>
    <t>Seguin Beauty School-New Braunfels</t>
  </si>
  <si>
    <t>Seguin Beauty School-Seguin</t>
  </si>
  <si>
    <t>Selma University</t>
  </si>
  <si>
    <t>Seminar L'moros Bais Yaakov</t>
  </si>
  <si>
    <t>Seminario Evangelico de Puerto Rico</t>
  </si>
  <si>
    <t>Seminary Bnos Chaim</t>
  </si>
  <si>
    <t>Seminole State College</t>
  </si>
  <si>
    <t>Seminole State College of Florida</t>
  </si>
  <si>
    <t>Sentara College of Health Sciences</t>
  </si>
  <si>
    <t>Sessions College for Professional Design</t>
  </si>
  <si>
    <t>Seton Hall University</t>
  </si>
  <si>
    <t>Seton Hill University</t>
  </si>
  <si>
    <t>Setting the Standard Barbering and Natural Hair Academy</t>
  </si>
  <si>
    <t>Seward County Community College</t>
  </si>
  <si>
    <t>Sharon Regional School of Nursing</t>
  </si>
  <si>
    <t>Sharp Edgez Barber Institute</t>
  </si>
  <si>
    <t>Sharp's Academy of Hairstyling</t>
  </si>
  <si>
    <t>Shasta Bible College and Graduate School</t>
  </si>
  <si>
    <t>Shasta College</t>
  </si>
  <si>
    <t>Shasta School of Cosmetology</t>
  </si>
  <si>
    <t>Shaw University</t>
  </si>
  <si>
    <t>Shawnee Beauty College</t>
  </si>
  <si>
    <t>Shawnee Community College</t>
  </si>
  <si>
    <t>Shawnee State University</t>
  </si>
  <si>
    <t>Shawsheen Valley School of Practical Nursing</t>
  </si>
  <si>
    <t>Shear Ego International School of Hair Design</t>
  </si>
  <si>
    <t>Shear Excellence Hair Academy</t>
  </si>
  <si>
    <t>Shear Finesse Beauty Academy</t>
  </si>
  <si>
    <t>Shear Perfection Academy of Cosmetology</t>
  </si>
  <si>
    <t>Shelton Professional Phlebotomy Services</t>
  </si>
  <si>
    <t>Shelton State Community College</t>
  </si>
  <si>
    <t>Shenandoah University</t>
  </si>
  <si>
    <t>Shepherd University</t>
  </si>
  <si>
    <t>Shepherds College</t>
  </si>
  <si>
    <t>Shepherds Theological Seminary</t>
  </si>
  <si>
    <t>Sheridan Technical College</t>
  </si>
  <si>
    <t>Sherman College of Chiropractic</t>
  </si>
  <si>
    <t>Shiloh University</t>
  </si>
  <si>
    <t>Shippensburg University of Pennsylvania</t>
  </si>
  <si>
    <t>Sh'or Yoshuv Rabbinical College</t>
  </si>
  <si>
    <t>Shore Beauty School</t>
  </si>
  <si>
    <t>Shoreline Community College</t>
  </si>
  <si>
    <t>Shorter College</t>
  </si>
  <si>
    <t>Shorter University</t>
  </si>
  <si>
    <t>Siena College</t>
  </si>
  <si>
    <t>Siena Heights University</t>
  </si>
  <si>
    <t>Sierra Academy of Style</t>
  </si>
  <si>
    <t>Sierra College</t>
  </si>
  <si>
    <t>Sierra College of Beauty</t>
  </si>
  <si>
    <t>Sierra Nevada University</t>
  </si>
  <si>
    <t>Signature Healthcare Brockton Hospital School of Nursing</t>
  </si>
  <si>
    <t>Simmons College of Kentucky</t>
  </si>
  <si>
    <t>Simmons University</t>
  </si>
  <si>
    <t>Simpson College</t>
  </si>
  <si>
    <t>Simpson University</t>
  </si>
  <si>
    <t>Sinclair Community College</t>
  </si>
  <si>
    <t>Sinte Gleska University</t>
  </si>
  <si>
    <t>Sioux Falls Seminary</t>
  </si>
  <si>
    <t>Sisseton Wahpeton College</t>
  </si>
  <si>
    <t>Sistema Universitario Ana G. Mendez</t>
  </si>
  <si>
    <t>SIT Graduate Institute</t>
  </si>
  <si>
    <t>Sitting Bull College</t>
  </si>
  <si>
    <t>Skagit Valley College</t>
  </si>
  <si>
    <t>Skidmore College</t>
  </si>
  <si>
    <t>Skin Institute</t>
  </si>
  <si>
    <t>Skin Science Institute</t>
  </si>
  <si>
    <t>Skinworks School of Advanced Skincare</t>
  </si>
  <si>
    <t>Skyline College</t>
  </si>
  <si>
    <t>Slippery Rock University of Pennsylvania</t>
  </si>
  <si>
    <t>Smith College</t>
  </si>
  <si>
    <t>Snead State Community College</t>
  </si>
  <si>
    <t>Snow College</t>
  </si>
  <si>
    <t>Sofia University</t>
  </si>
  <si>
    <t>Soka University of America</t>
  </si>
  <si>
    <t>Solano Community College</t>
  </si>
  <si>
    <t>Soma Institute-The National School of Clinical Massage Therapy</t>
  </si>
  <si>
    <t>Somerset Community College</t>
  </si>
  <si>
    <t>Somerset County Technology Center</t>
  </si>
  <si>
    <t>Sonoma State University</t>
  </si>
  <si>
    <t>Sonoran Desert Institute</t>
  </si>
  <si>
    <t>Sotheby's Institute of Art-NY</t>
  </si>
  <si>
    <t>South Arkansas Community College</t>
  </si>
  <si>
    <t>South Baylo University</t>
  </si>
  <si>
    <t>South Carolina State University</t>
  </si>
  <si>
    <t>South Central Career Center</t>
  </si>
  <si>
    <t>South Central College</t>
  </si>
  <si>
    <t>South Coast College</t>
  </si>
  <si>
    <t>South College</t>
  </si>
  <si>
    <t>South Dade Technical College-South Dade Skills Center Campus</t>
  </si>
  <si>
    <t>South Dakota School of Mines and Technology</t>
  </si>
  <si>
    <t>South Dakota State University</t>
  </si>
  <si>
    <t>South Eastern Beauty Academy</t>
  </si>
  <si>
    <t>South Florida Bible College and Theological Seminary</t>
  </si>
  <si>
    <t>South Florida Institute of Technology</t>
  </si>
  <si>
    <t>South Florida State College</t>
  </si>
  <si>
    <t>South Georgia State College</t>
  </si>
  <si>
    <t>South Georgia Technical College</t>
  </si>
  <si>
    <t>South Hills Beauty Academy</t>
  </si>
  <si>
    <t>South Hills School of Business &amp; Technology</t>
  </si>
  <si>
    <t>South Louisiana Community College</t>
  </si>
  <si>
    <t>South Mountain Community College</t>
  </si>
  <si>
    <t>South Orange County Community College District</t>
  </si>
  <si>
    <t>South Piedmont Community College</t>
  </si>
  <si>
    <t>South Plains College</t>
  </si>
  <si>
    <t>South Puget Sound Community College</t>
  </si>
  <si>
    <t>South Seattle College</t>
  </si>
  <si>
    <t>South Suburban College</t>
  </si>
  <si>
    <t>South Texas Barber College Inc</t>
  </si>
  <si>
    <t>South Texas College</t>
  </si>
  <si>
    <t>South Texas College of Law Houston</t>
  </si>
  <si>
    <t>South Texas Training Center</t>
  </si>
  <si>
    <t>South Texas Vocational Technical Institute-Brownsville</t>
  </si>
  <si>
    <t>South Texas Vocational Technical Institute-Weslaco</t>
  </si>
  <si>
    <t>South University-Austin</t>
  </si>
  <si>
    <t>South University-Columbia</t>
  </si>
  <si>
    <t>South University-High Point</t>
  </si>
  <si>
    <t>South University-Montgomery</t>
  </si>
  <si>
    <t>South University-Richmond</t>
  </si>
  <si>
    <t>South University-Savannah</t>
  </si>
  <si>
    <t>South University-Savannah Online</t>
  </si>
  <si>
    <t>South University-Tampa</t>
  </si>
  <si>
    <t>South University-Virginia Beach</t>
  </si>
  <si>
    <t>South University-West Palm Beach</t>
  </si>
  <si>
    <t>Southcentral Kentucky Community and Technical College</t>
  </si>
  <si>
    <t>Southeast Arkansas College</t>
  </si>
  <si>
    <t>Southeast Community College Area</t>
  </si>
  <si>
    <t>Southeast Kentucky Community &amp; Technical College</t>
  </si>
  <si>
    <t>Southeast Missouri Hospital College of Nursing and Health Sciences</t>
  </si>
  <si>
    <t>Southeast Missouri State University</t>
  </si>
  <si>
    <t>Southeast New Mexico College</t>
  </si>
  <si>
    <t>Southeast Technical College</t>
  </si>
  <si>
    <t>Southeast Texas Career Institute</t>
  </si>
  <si>
    <t>Southeastern Baptist College</t>
  </si>
  <si>
    <t>Southeastern Baptist Theological Seminary</t>
  </si>
  <si>
    <t>Southeastern College-Charleston</t>
  </si>
  <si>
    <t>Southeastern College-Charlotte</t>
  </si>
  <si>
    <t>Southeastern College-Columbia</t>
  </si>
  <si>
    <t>Southeastern College-West Palm Beach</t>
  </si>
  <si>
    <t>Southeastern Community College</t>
  </si>
  <si>
    <t>Southeastern Esthetics Institute</t>
  </si>
  <si>
    <t>Southeastern Free Will Baptist Bible College</t>
  </si>
  <si>
    <t>Southeastern Illinois College</t>
  </si>
  <si>
    <t>Southeastern Louisiana University</t>
  </si>
  <si>
    <t>Southeastern Oklahoma State University</t>
  </si>
  <si>
    <t>Southeastern Technical College</t>
  </si>
  <si>
    <t>Southeastern Technical Institute</t>
  </si>
  <si>
    <t>Southeastern University</t>
  </si>
  <si>
    <t>Southern Adventist University</t>
  </si>
  <si>
    <t>Southern Arkansas University Main Campus</t>
  </si>
  <si>
    <t>Southern Arkansas University Tech</t>
  </si>
  <si>
    <t>Southern California Health Institute</t>
  </si>
  <si>
    <t>Southern California Institute of Architecture</t>
  </si>
  <si>
    <t>Southern California Institute of Technology</t>
  </si>
  <si>
    <t>Southern California Seminary</t>
  </si>
  <si>
    <t>Southern California University of Health Sciences</t>
  </si>
  <si>
    <t>Southern Careers Institute-Austin</t>
  </si>
  <si>
    <t>Southern Careers Institute-Brownsville</t>
  </si>
  <si>
    <t>Southern Careers Institute-Corpus Christi</t>
  </si>
  <si>
    <t>Southern Careers Institute-Harlingen</t>
  </si>
  <si>
    <t>Southern Careers Institute-Pharr</t>
  </si>
  <si>
    <t>Southern Careers Institute-San Antonio</t>
  </si>
  <si>
    <t>Southern Careers Institute-Waco</t>
  </si>
  <si>
    <t>Southern College of Optometry</t>
  </si>
  <si>
    <t>Southern Connecticut State University</t>
  </si>
  <si>
    <t>Southern Crescent Technical College</t>
  </si>
  <si>
    <t>Southern Illinois University-Carbondale</t>
  </si>
  <si>
    <t>Southern Illinois University-Edwardsville</t>
  </si>
  <si>
    <t>Southern Illinois University-System Office</t>
  </si>
  <si>
    <t>Southern Maine Community College</t>
  </si>
  <si>
    <t>Southern Methodist University</t>
  </si>
  <si>
    <t>Southern Nazarene University</t>
  </si>
  <si>
    <t>Southern New Hampshire University</t>
  </si>
  <si>
    <t>Southern Oklahoma Technology Center</t>
  </si>
  <si>
    <t>Southern Oregon University</t>
  </si>
  <si>
    <t>Southern Regional Technical College</t>
  </si>
  <si>
    <t>Southern School of Beauty Inc</t>
  </si>
  <si>
    <t>Southern State Community College</t>
  </si>
  <si>
    <t>Southern States University</t>
  </si>
  <si>
    <t>Southern Technical College</t>
  </si>
  <si>
    <t>Southern Texas Careers Academy</t>
  </si>
  <si>
    <t>Southern Union State Community College</t>
  </si>
  <si>
    <t>Southern University and A &amp; M College</t>
  </si>
  <si>
    <t>Southern University at New Orleans</t>
  </si>
  <si>
    <t>Southern University at Shreveport</t>
  </si>
  <si>
    <t>Southern University Law Center</t>
  </si>
  <si>
    <t>Southern University-Board and System</t>
  </si>
  <si>
    <t>Southern Utah University</t>
  </si>
  <si>
    <t>Southern Virginia University</t>
  </si>
  <si>
    <t>Southern Wesleyan University</t>
  </si>
  <si>
    <t>Southern West Virginia Community and Technical College</t>
  </si>
  <si>
    <t>Southern Westchester BOCES-Practical Nursing Program</t>
  </si>
  <si>
    <t>Southern Worcester County Regional Vocational School District</t>
  </si>
  <si>
    <t>Southside College of Health Sciences</t>
  </si>
  <si>
    <t>Southside Virginia Community College</t>
  </si>
  <si>
    <t>Southwest Acupuncture College-Boulder</t>
  </si>
  <si>
    <t>Southwest Acupuncture College-Santa Fe</t>
  </si>
  <si>
    <t>Southwest Baptist University</t>
  </si>
  <si>
    <t>Southwest College of Naturopathic Medicine &amp; Health Sciences</t>
  </si>
  <si>
    <t>Southwest Collegiate Institute for the Deaf</t>
  </si>
  <si>
    <t>Southwest Institute of Healing Arts</t>
  </si>
  <si>
    <t>Southwest Minnesota State University</t>
  </si>
  <si>
    <t>Southwest Mississippi Community College</t>
  </si>
  <si>
    <t>Southwest School of Business and Technical Careers-San Antonio</t>
  </si>
  <si>
    <t>Southwest Technical College</t>
  </si>
  <si>
    <t>Southwest Technology Center</t>
  </si>
  <si>
    <t>Southwest Tennessee Community College</t>
  </si>
  <si>
    <t>Southwest Texas Junior College</t>
  </si>
  <si>
    <t>Southwest University at El Paso</t>
  </si>
  <si>
    <t>Southwest University of Visual Arts-Albuquerque</t>
  </si>
  <si>
    <t>Southwest University of Visual Arts-Tucson</t>
  </si>
  <si>
    <t>Southwest Virginia Community College</t>
  </si>
  <si>
    <t>Southwest Wisconsin Technical College</t>
  </si>
  <si>
    <t>Southwestern Adventist University</t>
  </si>
  <si>
    <t>Southwestern Assemblies of God University</t>
  </si>
  <si>
    <t>Southwestern Baptist Theological Seminary</t>
  </si>
  <si>
    <t>Southwestern Christian College</t>
  </si>
  <si>
    <t>Southwestern Christian University</t>
  </si>
  <si>
    <t>Southwestern College</t>
  </si>
  <si>
    <t>Southwestern Community College</t>
  </si>
  <si>
    <t>Southwestern Illinois College</t>
  </si>
  <si>
    <t>Southwestern Indian Polytechnic Institute</t>
  </si>
  <si>
    <t>Southwestern Law School</t>
  </si>
  <si>
    <t>Southwestern Michigan College</t>
  </si>
  <si>
    <t>Southwestern Oklahoma State University</t>
  </si>
  <si>
    <t>Southwestern Oregon Community College</t>
  </si>
  <si>
    <t>Southwestern University</t>
  </si>
  <si>
    <t>Sovah School of Health Professions</t>
  </si>
  <si>
    <t>SOWELA Technical Community College</t>
  </si>
  <si>
    <t>Spa Tech Institute-Ipswich</t>
  </si>
  <si>
    <t>Spa Tech Institute-Plymouth</t>
  </si>
  <si>
    <t>Spa Tech Institute-Westboro</t>
  </si>
  <si>
    <t>Spa Tech Institute-Westbrook</t>
  </si>
  <si>
    <t>Spalding University</t>
  </si>
  <si>
    <t>Spartan College of Aeronautics &amp; Technology</t>
  </si>
  <si>
    <t>Spartan College of Aeronautics and Technology</t>
  </si>
  <si>
    <t>Spartanburg Community College</t>
  </si>
  <si>
    <t>Spartanburg Methodist College</t>
  </si>
  <si>
    <t>Specs Howard School of Media Arts</t>
  </si>
  <si>
    <t>Spelman College</t>
  </si>
  <si>
    <t>Spertus College</t>
  </si>
  <si>
    <t>Spokane Community College</t>
  </si>
  <si>
    <t>Spokane Falls Community College</t>
  </si>
  <si>
    <t>Spoon River College</t>
  </si>
  <si>
    <t>Spring Arbor University</t>
  </si>
  <si>
    <t>Spring Hill College</t>
  </si>
  <si>
    <t>Springfield College</t>
  </si>
  <si>
    <t>Springfield College-Regional, Online, and Continuing Education</t>
  </si>
  <si>
    <t>Springfield Technical Community College</t>
  </si>
  <si>
    <t>Sri Sai Krish Institute</t>
  </si>
  <si>
    <t>St Bernard's School of Theology and Ministry</t>
  </si>
  <si>
    <t>St Bonaventure University</t>
  </si>
  <si>
    <t>St Catherine University</t>
  </si>
  <si>
    <t>St Charles Community College</t>
  </si>
  <si>
    <t>St Clair County Community College</t>
  </si>
  <si>
    <t>St Cloud Technical and Community College</t>
  </si>
  <si>
    <t>St Francis Medical Center-School of Radiologic Technology</t>
  </si>
  <si>
    <t>St Joseph School of Nursing</t>
  </si>
  <si>
    <t>St Lawrence University</t>
  </si>
  <si>
    <t>St Louis College of Health Careers-Fenton</t>
  </si>
  <si>
    <t>St Louis College of Health Careers-St Louis</t>
  </si>
  <si>
    <t>St Luke's College</t>
  </si>
  <si>
    <t>St Lukes Hospital School of Nursing</t>
  </si>
  <si>
    <t>St Olaf College</t>
  </si>
  <si>
    <t>St Paul's School of Nursing-Queens</t>
  </si>
  <si>
    <t>St Paul's School of Nursing-Staten Island</t>
  </si>
  <si>
    <t>St Petersburg College</t>
  </si>
  <si>
    <t>St Philip's College</t>
  </si>
  <si>
    <t>St. Andrews University</t>
  </si>
  <si>
    <t>St. Augustine College</t>
  </si>
  <si>
    <t>St. Francis College</t>
  </si>
  <si>
    <t>St. John Vianney College Seminary</t>
  </si>
  <si>
    <t>St. John's College</t>
  </si>
  <si>
    <t>St. John's College-Department of Nursing</t>
  </si>
  <si>
    <t>St. John's University-New York</t>
  </si>
  <si>
    <t>St. Joseph's College of Nursing</t>
  </si>
  <si>
    <t>St. Joseph's University-New York</t>
  </si>
  <si>
    <t>St. Louis Med Tech</t>
  </si>
  <si>
    <t>St. Mary's College of Maryland</t>
  </si>
  <si>
    <t>St. Mary's University</t>
  </si>
  <si>
    <t>St. Peter's Hospital College of Nursing</t>
  </si>
  <si>
    <t>St. Thomas Aquinas College</t>
  </si>
  <si>
    <t>St. Thomas University</t>
  </si>
  <si>
    <t>Stacey James Institute</t>
  </si>
  <si>
    <t>Stage One-The Hair School</t>
  </si>
  <si>
    <t>Stanbridge University</t>
  </si>
  <si>
    <t>Standard Healthcare Services-College of Nursing</t>
  </si>
  <si>
    <t>Stanford University</t>
  </si>
  <si>
    <t>Stanly Community College</t>
  </si>
  <si>
    <t>Stark State College</t>
  </si>
  <si>
    <t>Starr King School for the Ministry</t>
  </si>
  <si>
    <t>State Career College</t>
  </si>
  <si>
    <t>State Center Community College District</t>
  </si>
  <si>
    <t>State College of Beauty Culture Inc</t>
  </si>
  <si>
    <t>State College of Florida-Manatee-Sarasota</t>
  </si>
  <si>
    <t>State Fair Community College</t>
  </si>
  <si>
    <t>State Technical College of Missouri</t>
  </si>
  <si>
    <t>State University of New York at New Paltz</t>
  </si>
  <si>
    <t>Staunton School of Cosmetology</t>
  </si>
  <si>
    <t>Stautzenberger College-Brecksville</t>
  </si>
  <si>
    <t>Stautzenberger College-Maumee</t>
  </si>
  <si>
    <t>Stautzenberger College-Rockford Career College</t>
  </si>
  <si>
    <t>Stellar Career College</t>
  </si>
  <si>
    <t>Stephen F Austin State University</t>
  </si>
  <si>
    <t>Stephens College</t>
  </si>
  <si>
    <t>Sterling College</t>
  </si>
  <si>
    <t>Stetson University</t>
  </si>
  <si>
    <t>Steven Papageorge Hair Academy</t>
  </si>
  <si>
    <t>Stevens Institute of Technology</t>
  </si>
  <si>
    <t>Stevens-Henager College</t>
  </si>
  <si>
    <t>Stevenson University</t>
  </si>
  <si>
    <t>Stevensons Academy of Hair Design</t>
  </si>
  <si>
    <t>Stevens-The Institute of Business &amp; Arts</t>
  </si>
  <si>
    <t>Stewart School</t>
  </si>
  <si>
    <t>Stillman College</t>
  </si>
  <si>
    <t>Stockton University</t>
  </si>
  <si>
    <t>Stone Academy-East Hartford</t>
  </si>
  <si>
    <t>Stone Academy-Waterbury</t>
  </si>
  <si>
    <t>Stone Academy-West Haven</t>
  </si>
  <si>
    <t>Stone Child College</t>
  </si>
  <si>
    <t>Stonehill College</t>
  </si>
  <si>
    <t>Stony Brook University</t>
  </si>
  <si>
    <t>Strand College of Hair Design</t>
  </si>
  <si>
    <t>Strand Institute of Beauty &amp; Esthetics</t>
  </si>
  <si>
    <t>Stratford School for Aviation Maintenance Technicians</t>
  </si>
  <si>
    <t>Stratford University</t>
  </si>
  <si>
    <t>Strayer University-Alabama</t>
  </si>
  <si>
    <t>Strayer University-Arkansas</t>
  </si>
  <si>
    <t>Strayer University-Delaware</t>
  </si>
  <si>
    <t>Strayer University-District of Columbia</t>
  </si>
  <si>
    <t>Strayer University-Florida</t>
  </si>
  <si>
    <t>Strayer University-Georgia</t>
  </si>
  <si>
    <t>Strayer University-Global Region</t>
  </si>
  <si>
    <t>Strayer University-Maryland</t>
  </si>
  <si>
    <t>Strayer University-Mississippi</t>
  </si>
  <si>
    <t>Strayer University-New Jersey</t>
  </si>
  <si>
    <t>Strayer University-North Carolina</t>
  </si>
  <si>
    <t>Strayer University-Pennsylvania</t>
  </si>
  <si>
    <t>Strayer University-South Carolina</t>
  </si>
  <si>
    <t>Strayer University-Tennessee</t>
  </si>
  <si>
    <t>Strayer University-Texas</t>
  </si>
  <si>
    <t>Strayer University-Virginia</t>
  </si>
  <si>
    <t>Strayer University-West Virginia</t>
  </si>
  <si>
    <t>Studio Academy of Beauty</t>
  </si>
  <si>
    <t>Studio Beauty School</t>
  </si>
  <si>
    <t>Studio Incamminati</t>
  </si>
  <si>
    <t>Studio Jewelers</t>
  </si>
  <si>
    <t>Stylemaster College of Hair Design</t>
  </si>
  <si>
    <t>Suffolk County Community College</t>
  </si>
  <si>
    <t>Suffolk University</t>
  </si>
  <si>
    <t>Sul Ross State University</t>
  </si>
  <si>
    <t>Sullivan County Community College</t>
  </si>
  <si>
    <t>Sullivan University</t>
  </si>
  <si>
    <t>SUM Bible College and Theological Seminary</t>
  </si>
  <si>
    <t>Summit Academy Opportunities Industrialization Center</t>
  </si>
  <si>
    <t>Summit Christian College</t>
  </si>
  <si>
    <t>Summit College</t>
  </si>
  <si>
    <t>Summit Salon Academy</t>
  </si>
  <si>
    <t>Summit Salon Academy Kansas City</t>
  </si>
  <si>
    <t>Summit Salon Academy-Gainesville</t>
  </si>
  <si>
    <t>Summit Salon Academy-Kokomo</t>
  </si>
  <si>
    <t>Summit Salon Academy-Lexington</t>
  </si>
  <si>
    <t>Summit Salon Academy-Perrysburg</t>
  </si>
  <si>
    <t>Summit Salon Academy-Portland</t>
  </si>
  <si>
    <t>Sumner College</t>
  </si>
  <si>
    <t>Sumter Beauty College</t>
  </si>
  <si>
    <t>Suncoast Technical College</t>
  </si>
  <si>
    <t>Suncoast Technical Education Center</t>
  </si>
  <si>
    <t>Sunstate Academy</t>
  </si>
  <si>
    <t>SUNY Adirondack</t>
  </si>
  <si>
    <t>SUNY at Albany</t>
  </si>
  <si>
    <t>SUNY at Fredonia</t>
  </si>
  <si>
    <t>SUNY at Purchase College</t>
  </si>
  <si>
    <t>SUNY Brockport</t>
  </si>
  <si>
    <t>SUNY Broome Community College</t>
  </si>
  <si>
    <t>SUNY Buffalo State</t>
  </si>
  <si>
    <t>SUNY College at Geneseo</t>
  </si>
  <si>
    <t>SUNY College at Old Westbury</t>
  </si>
  <si>
    <t>SUNY College at Oswego</t>
  </si>
  <si>
    <t>SUNY College at Plattsburgh</t>
  </si>
  <si>
    <t>SUNY College at Potsdam</t>
  </si>
  <si>
    <t>SUNY College of Agriculture and Technology at Cobleskill</t>
  </si>
  <si>
    <t>SUNY College of Environmental Science and Forestry</t>
  </si>
  <si>
    <t>SUNY College of Optometry</t>
  </si>
  <si>
    <t>SUNY College of Technology at Alfred</t>
  </si>
  <si>
    <t>SUNY College of Technology at Canton</t>
  </si>
  <si>
    <t>SUNY College of Technology at Delhi</t>
  </si>
  <si>
    <t>SUNY Corning Community College</t>
  </si>
  <si>
    <t>SUNY Cortland</t>
  </si>
  <si>
    <t>SUNY Downstate Health Sciences University</t>
  </si>
  <si>
    <t>SUNY Empire State College</t>
  </si>
  <si>
    <t>SUNY Maritime College</t>
  </si>
  <si>
    <t>SUNY Morrisville</t>
  </si>
  <si>
    <t>SUNY Oneonta</t>
  </si>
  <si>
    <t>SUNY Polytechnic Institute</t>
  </si>
  <si>
    <t>SUNY Westchester Community College</t>
  </si>
  <si>
    <t>SUNY-System Office</t>
  </si>
  <si>
    <t>Surry Community College</t>
  </si>
  <si>
    <t>Susquehanna County Career and Technology Center</t>
  </si>
  <si>
    <t>Susquehanna University</t>
  </si>
  <si>
    <t>Sussex County Community College</t>
  </si>
  <si>
    <t>Sutter County Career Training Center</t>
  </si>
  <si>
    <t>Swarthmore College</t>
  </si>
  <si>
    <t>Swedish Institute a College of Health Sciences</t>
  </si>
  <si>
    <t>Sweet Briar College</t>
  </si>
  <si>
    <t>Sylvain Melloul International Hair Academy</t>
  </si>
  <si>
    <t>Syracuse University</t>
  </si>
  <si>
    <t>Tabor College</t>
  </si>
  <si>
    <t>Tacoma Community College</t>
  </si>
  <si>
    <t>Taft College</t>
  </si>
  <si>
    <t>Taft University System</t>
  </si>
  <si>
    <t>Talladega College</t>
  </si>
  <si>
    <t>Tallahassee Community College</t>
  </si>
  <si>
    <t>Talmudic College of Florida</t>
  </si>
  <si>
    <t>Talmudical Academy-New Jersey</t>
  </si>
  <si>
    <t>Talmudical Institute of Upstate New York</t>
  </si>
  <si>
    <t>Talmudical Seminary of Bobov</t>
  </si>
  <si>
    <t>Talmudical Seminary Oholei Torah</t>
  </si>
  <si>
    <t>Talmudical Yeshiva of Philadelphia</t>
  </si>
  <si>
    <t>Tarleton State University</t>
  </si>
  <si>
    <t>Tarrant County College District</t>
  </si>
  <si>
    <t>Taylor Andrews Academy of Hair Design-Hair Lab Detroit Barber School</t>
  </si>
  <si>
    <t>Taylor Andrews Academy of Hair Design-Provo</t>
  </si>
  <si>
    <t>Taylor Andrews Academy of Hair Design-West Jordan</t>
  </si>
  <si>
    <t>Taylor Andrews Academy-St George</t>
  </si>
  <si>
    <t>Taylor Business Institute</t>
  </si>
  <si>
    <t>Taylor College</t>
  </si>
  <si>
    <t>Taylor Institute of Cosmetology II</t>
  </si>
  <si>
    <t>Taylor University</t>
  </si>
  <si>
    <t>Taylortown School of Beauty Inc</t>
  </si>
  <si>
    <t>TDDS Technical Institute</t>
  </si>
  <si>
    <t>Teachers College at Columbia University</t>
  </si>
  <si>
    <t>Teachers College of San Joaquin</t>
  </si>
  <si>
    <t>Technical College of the Lowcountry</t>
  </si>
  <si>
    <t>Technical College of the Rockies</t>
  </si>
  <si>
    <t>Technical Learning Centers Inc</t>
  </si>
  <si>
    <t>Telshe Yeshiva-Chicago</t>
  </si>
  <si>
    <t>Temple College</t>
  </si>
  <si>
    <t>Temple University</t>
  </si>
  <si>
    <t>Tenaj Salon Institute</t>
  </si>
  <si>
    <t>Tennessee Board of Regents</t>
  </si>
  <si>
    <t>Tennessee College of Applied Technology Nashville</t>
  </si>
  <si>
    <t>Tennessee College of Applied Technology-Athens</t>
  </si>
  <si>
    <t>Tennessee College of Applied Technology-Covington</t>
  </si>
  <si>
    <t>Tennessee College of Applied Technology-Crossville</t>
  </si>
  <si>
    <t>Tennessee College of Applied Technology-Crump</t>
  </si>
  <si>
    <t>Tennessee College of Applied Technology-Dickson</t>
  </si>
  <si>
    <t>Tennessee College of Applied Technology-Elizabethton</t>
  </si>
  <si>
    <t>Tennessee College of Applied Technology-Harriman</t>
  </si>
  <si>
    <t>Tennessee College of Applied Technology-Hartsville</t>
  </si>
  <si>
    <t>Tennessee College of Applied Technology-Hohenwald</t>
  </si>
  <si>
    <t>Tennessee College of Applied Technology-Jacksboro</t>
  </si>
  <si>
    <t>Tennessee College of Applied Technology-Jackson</t>
  </si>
  <si>
    <t>Tennessee College of Applied Technology-Knoxville</t>
  </si>
  <si>
    <t>Tennessee College of Applied Technology-Livingston</t>
  </si>
  <si>
    <t>Tennessee College of Applied Technology-McKenzie</t>
  </si>
  <si>
    <t>Tennessee College of Applied Technology-McMinnville</t>
  </si>
  <si>
    <t>Tennessee College of Applied Technology-Memphis</t>
  </si>
  <si>
    <t>Tennessee College of Applied Technology-Morristown</t>
  </si>
  <si>
    <t>Tennessee College of Applied Technology-Murfreesboro</t>
  </si>
  <si>
    <t>Tennessee College of Applied Technology-Newbern</t>
  </si>
  <si>
    <t>Tennessee College of Applied Technology-Oneida-Huntsville</t>
  </si>
  <si>
    <t>Tennessee College of Applied Technology-Paris</t>
  </si>
  <si>
    <t>Tennessee College of Applied Technology-Pulaski</t>
  </si>
  <si>
    <t>Tennessee College of Applied Technology-Ripley</t>
  </si>
  <si>
    <t>Tennessee College of Applied Technology-Shelbyville</t>
  </si>
  <si>
    <t>Tennessee College of Applied Technology-Whiteville</t>
  </si>
  <si>
    <t>Tennessee School of Beauty of Knoxville Inc</t>
  </si>
  <si>
    <t>Tennessee State University</t>
  </si>
  <si>
    <t>Tennessee Technological University</t>
  </si>
  <si>
    <t>Tennessee Wesleyan University</t>
  </si>
  <si>
    <t>Terra State Community College</t>
  </si>
  <si>
    <t>Texarkana College</t>
  </si>
  <si>
    <t>Texas A &amp; M International University</t>
  </si>
  <si>
    <t>Texas A &amp; M University-College Station</t>
  </si>
  <si>
    <t>Texas A &amp; M University-Commerce</t>
  </si>
  <si>
    <t>Texas A &amp; M University-Corpus Christi</t>
  </si>
  <si>
    <t>Texas A &amp; M University-Kingsville</t>
  </si>
  <si>
    <t>Texas A &amp; M University-System Office</t>
  </si>
  <si>
    <t>Texas A&amp;M University-Central Texas</t>
  </si>
  <si>
    <t>Texas A&amp;M University-San Antonio</t>
  </si>
  <si>
    <t>Texas A&amp;M University-Texarkana</t>
  </si>
  <si>
    <t>Texas Barber College</t>
  </si>
  <si>
    <t>Texas Beauty College</t>
  </si>
  <si>
    <t>Texas Chiropractic College Foundation Inc</t>
  </si>
  <si>
    <t>Texas Christian University</t>
  </si>
  <si>
    <t>Texas College</t>
  </si>
  <si>
    <t>Texas College of Cosmetology-Abilene</t>
  </si>
  <si>
    <t>Texas College of Cosmetology-Lubbock</t>
  </si>
  <si>
    <t>Texas College of Cosmetology-San Angelo</t>
  </si>
  <si>
    <t>Texas County Technical College</t>
  </si>
  <si>
    <t>Texas Health and Science University</t>
  </si>
  <si>
    <t>Texas Health School</t>
  </si>
  <si>
    <t>Texas Healthtech Institute</t>
  </si>
  <si>
    <t>Texas Lutheran University</t>
  </si>
  <si>
    <t>Texas Southern University</t>
  </si>
  <si>
    <t>Texas Southmost College</t>
  </si>
  <si>
    <t>Texas State Technical College</t>
  </si>
  <si>
    <t>Texas State University</t>
  </si>
  <si>
    <t>Texas Tech University</t>
  </si>
  <si>
    <t>Texas Tech University Health Sciences Center</t>
  </si>
  <si>
    <t>Texas Tech University Health Sciences Center-El Paso</t>
  </si>
  <si>
    <t>Texas Tech University System Administration</t>
  </si>
  <si>
    <t>Texas Wesleyan University</t>
  </si>
  <si>
    <t>Texas Woman's University</t>
  </si>
  <si>
    <t>Textures Institute of Cosmetology</t>
  </si>
  <si>
    <t>Thaddeus Stevens College of Technology</t>
  </si>
  <si>
    <t>Thanh Le College School of Cosmetology</t>
  </si>
  <si>
    <t>The  Beauty Institute</t>
  </si>
  <si>
    <t>The  Salon Professional Academy of Holland</t>
  </si>
  <si>
    <t>The Academy of Hair Design Six</t>
  </si>
  <si>
    <t>The Ailey School</t>
  </si>
  <si>
    <t>The Art Institute of Atlanta</t>
  </si>
  <si>
    <t>The Art Institute of Austin</t>
  </si>
  <si>
    <t>The Art Institute of Houston</t>
  </si>
  <si>
    <t>The Art Institute of San Antonio</t>
  </si>
  <si>
    <t>The Art Institute of Virginia Beach</t>
  </si>
  <si>
    <t>The Baptist College of Florida</t>
  </si>
  <si>
    <t>The Barber School</t>
  </si>
  <si>
    <t>The Beauty Institute</t>
  </si>
  <si>
    <t>The Beauty Institute-Ambler</t>
  </si>
  <si>
    <t>The Catholic University of America</t>
  </si>
  <si>
    <t>The Chicago School of Professional Psychology at Anaheim</t>
  </si>
  <si>
    <t>The Chicago School of Professional Psychology at Chicago</t>
  </si>
  <si>
    <t>The Chicago School of Professional Psychology at Los Angeles</t>
  </si>
  <si>
    <t>The Chicago School of Professional Psychology at San Diego</t>
  </si>
  <si>
    <t>The Chicago School of Professional Psychology at Washington DC</t>
  </si>
  <si>
    <t>The Chicago School of Professional Psychology at Xavier University of Louisiana</t>
  </si>
  <si>
    <t>The Christ College of Nursing and Health Sciences</t>
  </si>
  <si>
    <t>The Chrysm Institute of Esthetics</t>
  </si>
  <si>
    <t>The College of Health Care Professions-Austin</t>
  </si>
  <si>
    <t>The College of Health Care Professions-Dallas</t>
  </si>
  <si>
    <t>The College of Health Care Professions-Fort Worth</t>
  </si>
  <si>
    <t>The College of Health Care Professions-McAllen Campus</t>
  </si>
  <si>
    <t>The College of Health Care Professions-Northwest</t>
  </si>
  <si>
    <t>The College of Health Care Professions-San Antonio</t>
  </si>
  <si>
    <t>The College of Health Care Professions-South San Antonio</t>
  </si>
  <si>
    <t>The College of Health Care Professions-Southwest Houston</t>
  </si>
  <si>
    <t>The College of Idaho</t>
  </si>
  <si>
    <t>The College of New Jersey</t>
  </si>
  <si>
    <t>The College of Saint Rose</t>
  </si>
  <si>
    <t>The College of Saint Scholastica</t>
  </si>
  <si>
    <t>The College of the Florida Keys</t>
  </si>
  <si>
    <t>The College of Westchester</t>
  </si>
  <si>
    <t>The College of Wooster</t>
  </si>
  <si>
    <t>The Continents States University</t>
  </si>
  <si>
    <t>The Creative Center</t>
  </si>
  <si>
    <t>The Creative Circus</t>
  </si>
  <si>
    <t>The Culinary School of Fort Worth</t>
  </si>
  <si>
    <t>The Esthetic Institute</t>
  </si>
  <si>
    <t>The Evergreen State College</t>
  </si>
  <si>
    <t>The Fab School</t>
  </si>
  <si>
    <t>The General Theological Seminary</t>
  </si>
  <si>
    <t>The Hair Academy</t>
  </si>
  <si>
    <t>The Hair Academy LLC</t>
  </si>
  <si>
    <t>The Healthcare Institute</t>
  </si>
  <si>
    <t>The Institute of Beauty and Wellness</t>
  </si>
  <si>
    <t>The International Culinary Center</t>
  </si>
  <si>
    <t>The Juilliard School</t>
  </si>
  <si>
    <t>The King's College</t>
  </si>
  <si>
    <t>The King's University</t>
  </si>
  <si>
    <t>The Landing School</t>
  </si>
  <si>
    <t>The Master's University and Seminary</t>
  </si>
  <si>
    <t>The Michigan Barber School</t>
  </si>
  <si>
    <t>The Modern College of Design</t>
  </si>
  <si>
    <t>The New England Conservatory of Music</t>
  </si>
  <si>
    <t>The New School</t>
  </si>
  <si>
    <t>The New School Center for Media</t>
  </si>
  <si>
    <t>The North Coast College</t>
  </si>
  <si>
    <t>The Pennsylvania State University</t>
  </si>
  <si>
    <t>The Professional Cosmetology Academy</t>
  </si>
  <si>
    <t>The Professional Hair Design Academy</t>
  </si>
  <si>
    <t>The Rapha School</t>
  </si>
  <si>
    <t>The Recording Conservatory of Austin</t>
  </si>
  <si>
    <t>The Salon Professional Academy</t>
  </si>
  <si>
    <t>The Salon Professional Academy-Altoona</t>
  </si>
  <si>
    <t>The Salon Professional Academy-Appleton</t>
  </si>
  <si>
    <t>The Salon Professional Academy-Battle Creek</t>
  </si>
  <si>
    <t>The Salon Professional Academy-Cedar Falls</t>
  </si>
  <si>
    <t>The Salon Professional Academy-Colorado Springs</t>
  </si>
  <si>
    <t>The Salon Professional Academy-Delray Beach</t>
  </si>
  <si>
    <t>The Salon Professional Academy-Evansville</t>
  </si>
  <si>
    <t>The Salon Professional Academy-Fargo</t>
  </si>
  <si>
    <t>The Salon Professional Academy-Ft Myers</t>
  </si>
  <si>
    <t>The Salon Professional Academy-Georgetown</t>
  </si>
  <si>
    <t>The Salon Professional Academy-Grand Junction</t>
  </si>
  <si>
    <t>The Salon Professional Academy-Huntsville</t>
  </si>
  <si>
    <t>The Salon Professional Academy-Kenosha</t>
  </si>
  <si>
    <t>The Salon Professional Academy-Lewisville</t>
  </si>
  <si>
    <t>The Salon Professional Academy-Melbourne</t>
  </si>
  <si>
    <t>The Salon Professional Academy-Nampa</t>
  </si>
  <si>
    <t>The Salon Professional Academy-Nashville</t>
  </si>
  <si>
    <t>The Salon Professional Academy-North Little Rock</t>
  </si>
  <si>
    <t>The Salon Professional Academy-Onalaska</t>
  </si>
  <si>
    <t>The Salon Professional Academy-San Jose</t>
  </si>
  <si>
    <t>The Salon Professional Academy-St Charles</t>
  </si>
  <si>
    <t>The Salon Professional Academy-Tonawanda</t>
  </si>
  <si>
    <t>The Salon Professional Academy-Washington DC</t>
  </si>
  <si>
    <t>The Santa Barbara and Ventura Colleges of Law at Santa Barbara</t>
  </si>
  <si>
    <t>The Santa Barbara and Ventura Colleges of Law at Ventura</t>
  </si>
  <si>
    <t>The School of Architecture</t>
  </si>
  <si>
    <t>The Seattle School of Theology &amp; Psychology</t>
  </si>
  <si>
    <t>The Southern Baptist Theological Seminary</t>
  </si>
  <si>
    <t>The Spa School</t>
  </si>
  <si>
    <t>The Temple Annapolis-A Paul Mitchell Partner School</t>
  </si>
  <si>
    <t>The Temple-A Paul Mitchell Partner School</t>
  </si>
  <si>
    <t>The University of Aesthetics &amp; Cosmetology</t>
  </si>
  <si>
    <t>The University of Alabama</t>
  </si>
  <si>
    <t>The University of America</t>
  </si>
  <si>
    <t>The University of Findlay</t>
  </si>
  <si>
    <t>The University of Montana</t>
  </si>
  <si>
    <t>The University of Montana-Western</t>
  </si>
  <si>
    <t>The University of Tampa</t>
  </si>
  <si>
    <t>The University of Tennessee Health Science Center</t>
  </si>
  <si>
    <t>The University of Tennessee Southern</t>
  </si>
  <si>
    <t>The University of Tennessee System Office</t>
  </si>
  <si>
    <t>The University of Tennessee-Chattanooga</t>
  </si>
  <si>
    <t>The University of Tennessee-Knoxville</t>
  </si>
  <si>
    <t>The University of Tennessee-Martin</t>
  </si>
  <si>
    <t>The University of Texas at Arlington</t>
  </si>
  <si>
    <t>The University of Texas at Austin</t>
  </si>
  <si>
    <t>The University of Texas at Dallas</t>
  </si>
  <si>
    <t>The University of Texas at El Paso</t>
  </si>
  <si>
    <t>The University of Texas at San Antonio</t>
  </si>
  <si>
    <t>The University of Texas at Tyler</t>
  </si>
  <si>
    <t>The University of Texas Health Science Center at Houston</t>
  </si>
  <si>
    <t>The University of Texas Health Science Center at San Antonio</t>
  </si>
  <si>
    <t>The University of Texas MD Anderson Cancer Center</t>
  </si>
  <si>
    <t>The University of Texas Medical Branch at Galveston</t>
  </si>
  <si>
    <t>The University of Texas Permian Basin</t>
  </si>
  <si>
    <t>The University of Texas Rio Grande Valley</t>
  </si>
  <si>
    <t>The University of Texas System Office</t>
  </si>
  <si>
    <t>The University of the Arts</t>
  </si>
  <si>
    <t>The University of the South</t>
  </si>
  <si>
    <t>The University of West Florida</t>
  </si>
  <si>
    <t>The Vocational Nursing Institute Inc</t>
  </si>
  <si>
    <t>The Wright Institute</t>
  </si>
  <si>
    <t>Theatre of Arts</t>
  </si>
  <si>
    <t>Theological Seminary of the Reformed Episcopal Church</t>
  </si>
  <si>
    <t>Thiel College</t>
  </si>
  <si>
    <t>Thomas Aquinas College</t>
  </si>
  <si>
    <t>Thomas College</t>
  </si>
  <si>
    <t>Thomas Edison State University</t>
  </si>
  <si>
    <t>Thomas Jefferson School of Law</t>
  </si>
  <si>
    <t>Thomas Jefferson University</t>
  </si>
  <si>
    <t>Thomas More College of Liberal Arts</t>
  </si>
  <si>
    <t>Thomas More University</t>
  </si>
  <si>
    <t>Thomas University</t>
  </si>
  <si>
    <t>Three Rivers College</t>
  </si>
  <si>
    <t>Three Rivers Community College</t>
  </si>
  <si>
    <t>Tidewater Community College</t>
  </si>
  <si>
    <t>Tidewater Tech-Trades</t>
  </si>
  <si>
    <t>Tiffin Academy of Hair Design</t>
  </si>
  <si>
    <t>Tiffin University</t>
  </si>
  <si>
    <t>TIGI Hairdressing Academy Guilford</t>
  </si>
  <si>
    <t>Tigi Hairdressing Academy-Colorado Springs</t>
  </si>
  <si>
    <t>Tillamook Bay Community College</t>
  </si>
  <si>
    <t>Tint School of Makeup &amp; Cosmetology</t>
  </si>
  <si>
    <t>Tint School of Makeup &amp; Cosmetology-Seattle</t>
  </si>
  <si>
    <t>Tint School of Makeup and Cosmetology-Dallas</t>
  </si>
  <si>
    <t>Toccoa Falls College</t>
  </si>
  <si>
    <t>Tohono O'Odham Community College</t>
  </si>
  <si>
    <t>Toledo Academy of Beauty Culture-East</t>
  </si>
  <si>
    <t>Toledo Public Schools Adult and Continuing Education</t>
  </si>
  <si>
    <t>Tom P. Haney Technical College</t>
  </si>
  <si>
    <t>Tomorrow's Image Barber And Beauty Academy of Virginia</t>
  </si>
  <si>
    <t>Tompkins Cortland Community College</t>
  </si>
  <si>
    <t>Toni &amp; Guy Hairdressing Academy-Albuquerque</t>
  </si>
  <si>
    <t>Toni &amp; Guy Hairdressing Academy-Atlanta</t>
  </si>
  <si>
    <t>Toni &amp; Guy Hairdressing Academy-Cranston</t>
  </si>
  <si>
    <t>Toni &amp; Guy Hairdressing Academy-Idaho</t>
  </si>
  <si>
    <t>Toni &amp; Guy Hairdressing Academy-Plano</t>
  </si>
  <si>
    <t>Toni &amp; Guy Hairdressing Academy-Rio Rancho</t>
  </si>
  <si>
    <t>Toni &amp; Guy Hairdressing Academy-Shoreline</t>
  </si>
  <si>
    <t>Toni &amp; Guy Hairdressing Academy-Worcester</t>
  </si>
  <si>
    <t>Tonsorial Arts Barber College</t>
  </si>
  <si>
    <t>Tooele Technical College</t>
  </si>
  <si>
    <t>Top Nails &amp; Hair Beauty School</t>
  </si>
  <si>
    <t>Top of the Line Barber College</t>
  </si>
  <si>
    <t>Torah Temimah Talmudical Seminary</t>
  </si>
  <si>
    <t>Total Beauty Institute</t>
  </si>
  <si>
    <t>Total Image Beauty Academy</t>
  </si>
  <si>
    <t>Total Transformation Institute of Cosmetology</t>
  </si>
  <si>
    <t>Totally Cosmo School of Modern Cosmetology</t>
  </si>
  <si>
    <t>Tougaloo College</t>
  </si>
  <si>
    <t>Touro College</t>
  </si>
  <si>
    <t>Touro University California</t>
  </si>
  <si>
    <t>Touro University Nevada</t>
  </si>
  <si>
    <t>Touro University Worldwide</t>
  </si>
  <si>
    <t>Towson University</t>
  </si>
  <si>
    <t>Toyota Technological Institute at Chicago</t>
  </si>
  <si>
    <t>Transitions Career Institute School of Nursing</t>
  </si>
  <si>
    <t>Transylvania University</t>
  </si>
  <si>
    <t>Traviss Technical College</t>
  </si>
  <si>
    <t>Traxlers School of Hair</t>
  </si>
  <si>
    <t>Treasure Coast Technical College</t>
  </si>
  <si>
    <t>Treasure Valley Community College</t>
  </si>
  <si>
    <t>Trend Barber College</t>
  </si>
  <si>
    <t>Trend Setters School</t>
  </si>
  <si>
    <t>Trendsetters School of Beauty &amp; Barbering</t>
  </si>
  <si>
    <t>Trenz Beauty Academy</t>
  </si>
  <si>
    <t>Trevecca Nazarene University</t>
  </si>
  <si>
    <t>Tri County Regional Vocational Technical High School</t>
  </si>
  <si>
    <t>Triad Education</t>
  </si>
  <si>
    <t>Triangle Tech Inc-Bethlehem</t>
  </si>
  <si>
    <t>Triangle Tech Inc-Dubois</t>
  </si>
  <si>
    <t>Triangle Tech Inc-Greensburg</t>
  </si>
  <si>
    <t>Triangle Tech Inc-Pittsburgh</t>
  </si>
  <si>
    <t>Triangle Tech Inc-Sunbury</t>
  </si>
  <si>
    <t>Triangle Tech-Chambersburg</t>
  </si>
  <si>
    <t>Tricoci University of Beauty Culture</t>
  </si>
  <si>
    <t>Tricoci University of Beauty Culture LLC-Bloomington</t>
  </si>
  <si>
    <t>Tricoci University of Beauty Culture-Bridgeview</t>
  </si>
  <si>
    <t>Tricoci University of Beauty Culture-Chicago NE</t>
  </si>
  <si>
    <t>Tricoci University of Beauty Culture-Chicago NW</t>
  </si>
  <si>
    <t>Tricoci University of Beauty Culture-Elgin</t>
  </si>
  <si>
    <t>Tricoci University of Beauty Culture-Glendale Heights</t>
  </si>
  <si>
    <t>Tricoci University of Beauty Culture-Highland</t>
  </si>
  <si>
    <t>Tricoci University of Beauty Culture-Indianapolis</t>
  </si>
  <si>
    <t>Tricoci University of Beauty Culture-Janesville</t>
  </si>
  <si>
    <t>Tricoci University of Beauty Culture-Lafayette</t>
  </si>
  <si>
    <t>Tricoci University of Beauty Culture-Libertyville</t>
  </si>
  <si>
    <t>Tricoci University of Beauty Culture-Normal</t>
  </si>
  <si>
    <t>Tricoci University of Beauty Culture-Peoria</t>
  </si>
  <si>
    <t>Tricoci University of Beauty Culture-Rockford</t>
  </si>
  <si>
    <t>Tri-Community Adult Education</t>
  </si>
  <si>
    <t>Tri-County Adult Career Center</t>
  </si>
  <si>
    <t>Tri-County Beauty Academy</t>
  </si>
  <si>
    <t>Tri-County Community College</t>
  </si>
  <si>
    <t>Tri-County Technical College</t>
  </si>
  <si>
    <t>Trident Technical College</t>
  </si>
  <si>
    <t>Trine University</t>
  </si>
  <si>
    <t>Trine University-Regional/Non-Traditional Campuses</t>
  </si>
  <si>
    <t>Trinidad State College</t>
  </si>
  <si>
    <t>Trinity Baptist College</t>
  </si>
  <si>
    <t>Trinity Bible College and Graduate School</t>
  </si>
  <si>
    <t>Trinity Christian College</t>
  </si>
  <si>
    <t>Trinity College</t>
  </si>
  <si>
    <t>Trinity College of Florida</t>
  </si>
  <si>
    <t>Trinity College of Nursing &amp; Health Sciences</t>
  </si>
  <si>
    <t>Trinity College of Puerto Rico</t>
  </si>
  <si>
    <t>Trinity Episcopal School for Ministry</t>
  </si>
  <si>
    <t>Trinity Health System School of Nursing</t>
  </si>
  <si>
    <t>Trinity International University-Florida</t>
  </si>
  <si>
    <t>Trinity International University-Illinois</t>
  </si>
  <si>
    <t>Trinity Law School</t>
  </si>
  <si>
    <t>Trinity University</t>
  </si>
  <si>
    <t>Trinity Valley Community College</t>
  </si>
  <si>
    <t>Trinity Washington University</t>
  </si>
  <si>
    <t>Tri-Rivers Career Center</t>
  </si>
  <si>
    <t>Tri-State Barber College</t>
  </si>
  <si>
    <t>Tri-State Bible College</t>
  </si>
  <si>
    <t>Tri-State Cosmetology Institute</t>
  </si>
  <si>
    <t>Triton College</t>
  </si>
  <si>
    <t>Trocaire College</t>
  </si>
  <si>
    <t>Troy University</t>
  </si>
  <si>
    <t>Truckee Meadows Community College</t>
  </si>
  <si>
    <t>Truett McConnell University</t>
  </si>
  <si>
    <t>Truman State University</t>
  </si>
  <si>
    <t>Trumbull Career &amp; Technical Center</t>
  </si>
  <si>
    <t>Tuana European Beauty Academy</t>
  </si>
  <si>
    <t>Tucson College of Beauty</t>
  </si>
  <si>
    <t>Tufts University</t>
  </si>
  <si>
    <t>Tulane University of Louisiana</t>
  </si>
  <si>
    <t>Tulsa Community College</t>
  </si>
  <si>
    <t>Tulsa Technology Center</t>
  </si>
  <si>
    <t>Tulsa Welding School-Houston</t>
  </si>
  <si>
    <t>Tulsa Welding School-Jacksonville</t>
  </si>
  <si>
    <t>Tulsa Welding School-Tulsa</t>
  </si>
  <si>
    <t>Tunxis Community College</t>
  </si>
  <si>
    <t>Turing School of Software &amp; Design</t>
  </si>
  <si>
    <t>Turning Point Beauty College</t>
  </si>
  <si>
    <t>Turtle Mountain Community College</t>
  </si>
  <si>
    <t>Tusculum University</t>
  </si>
  <si>
    <t>Tuskegee University</t>
  </si>
  <si>
    <t>Twin City Beauty College</t>
  </si>
  <si>
    <t>Tyler Junior College</t>
  </si>
  <si>
    <t>U.S. Truck Driver Training School</t>
  </si>
  <si>
    <t>UCAS University of Cosmetology Arts &amp; Sciences</t>
  </si>
  <si>
    <t>UCAS University of Cosmetology Arts &amp; Sciences-Harlingen</t>
  </si>
  <si>
    <t>UCAS University of Cosmetology Arts &amp; Sciences-La Joya</t>
  </si>
  <si>
    <t>UCAS University of Cosmetology Arts &amp; Sciences-McAllen</t>
  </si>
  <si>
    <t>UCAS University of Cosmetology Arts &amp; Sciences-San Antonio 410</t>
  </si>
  <si>
    <t>UEI College-Bakersfield</t>
  </si>
  <si>
    <t>UEI College-Fresno</t>
  </si>
  <si>
    <t>UEI College-Gardena</t>
  </si>
  <si>
    <t>UEI College-Riverside</t>
  </si>
  <si>
    <t>UEI College-Sacramento</t>
  </si>
  <si>
    <t>UEI College-United Education Institute-Las Vegas</t>
  </si>
  <si>
    <t>Uintah Basin Technical College</t>
  </si>
  <si>
    <t>Ukiah Adult School</t>
  </si>
  <si>
    <t>Ulster BOCES-School of Practical Nursing</t>
  </si>
  <si>
    <t>Ulster County Community College</t>
  </si>
  <si>
    <t>Ultimate Medical Academy</t>
  </si>
  <si>
    <t>Ultrasound Medical Institute</t>
  </si>
  <si>
    <t>Umpqua Community College</t>
  </si>
  <si>
    <t>Unification Theological Seminary</t>
  </si>
  <si>
    <t>Union Bible College</t>
  </si>
  <si>
    <t>Union College</t>
  </si>
  <si>
    <t>Union County College</t>
  </si>
  <si>
    <t>Union County Vocational Technical School</t>
  </si>
  <si>
    <t>Union Institute &amp; University</t>
  </si>
  <si>
    <t>Union Presbyterian Seminary</t>
  </si>
  <si>
    <t>Union Theological Seminary in the City of New York</t>
  </si>
  <si>
    <t>Union University</t>
  </si>
  <si>
    <t>Unitech Training Academy-Alexandria</t>
  </si>
  <si>
    <t>Unitech Training Academy-Baton Rouge</t>
  </si>
  <si>
    <t>Unitech Training Academy-Houma</t>
  </si>
  <si>
    <t>Unitech Training Academy-Lafayette</t>
  </si>
  <si>
    <t>Unitech Training Academy-Lake Charles</t>
  </si>
  <si>
    <t>Unitech Training Academy-New Orleans</t>
  </si>
  <si>
    <t>Unitech Training Academy-West Monroe</t>
  </si>
  <si>
    <t>United Beauty College</t>
  </si>
  <si>
    <t>United College of Health and Beauty</t>
  </si>
  <si>
    <t>United Education Institute - UEI College - Phoenix</t>
  </si>
  <si>
    <t>United Education Institute-Chula Vista</t>
  </si>
  <si>
    <t>United Education Institute-Encino</t>
  </si>
  <si>
    <t>United Education Institute-Garden Grove</t>
  </si>
  <si>
    <t>United Education Institute-Huntington Park Campus</t>
  </si>
  <si>
    <t>United Education Institute-Morrow</t>
  </si>
  <si>
    <t>United Education Institute-Ontario</t>
  </si>
  <si>
    <t>United Education Institute-UEI College Stockton</t>
  </si>
  <si>
    <t>United Education Institute-UEI College-Mesa</t>
  </si>
  <si>
    <t>United Education Institute-UEI College-Oceanside</t>
  </si>
  <si>
    <t>United Education Institute-West Covina</t>
  </si>
  <si>
    <t>United International College</t>
  </si>
  <si>
    <t>United Lutheran Seminary</t>
  </si>
  <si>
    <t>United States Air Force Academy</t>
  </si>
  <si>
    <t>United States Coast Guard Academy</t>
  </si>
  <si>
    <t>United States Merchant Marine Academy</t>
  </si>
  <si>
    <t>United States Military Academy</t>
  </si>
  <si>
    <t>United States Naval Academy</t>
  </si>
  <si>
    <t>United States Sports Academy</t>
  </si>
  <si>
    <t>United States University</t>
  </si>
  <si>
    <t>United Talmudical Seminary</t>
  </si>
  <si>
    <t>United Technical Center</t>
  </si>
  <si>
    <t>United Theological Seminary</t>
  </si>
  <si>
    <t>United Theological Seminary of the Twin Cities</t>
  </si>
  <si>
    <t>United Tribes Technical College</t>
  </si>
  <si>
    <t>Unitek College</t>
  </si>
  <si>
    <t>Unity College</t>
  </si>
  <si>
    <t>UnityPoint Health-Des Moines School of Radiologic Technology</t>
  </si>
  <si>
    <t>Universal Career School</t>
  </si>
  <si>
    <t>Universal College of Beauty Inc-Los Angeles 2</t>
  </si>
  <si>
    <t>Universal College of Healing Arts</t>
  </si>
  <si>
    <t>Universal Healthcare Careers College</t>
  </si>
  <si>
    <t>Universal Spa Training Academy</t>
  </si>
  <si>
    <t>Universal Technical Institute of Arizona Inc</t>
  </si>
  <si>
    <t>Universal Technical Institute of Arizona Inc-Motorcycle Mechanics Institute Division</t>
  </si>
  <si>
    <t>Universal Technical Institute of California Inc</t>
  </si>
  <si>
    <t>Universal Technical Institute of Illinois Inc</t>
  </si>
  <si>
    <t>Universal Technical Institute of Northern California Inc</t>
  </si>
  <si>
    <t>Universal Technical Institute of Pennsylvania Inc</t>
  </si>
  <si>
    <t>Universal Technical Institute of Texas Inc.</t>
  </si>
  <si>
    <t>Universal Technical Institute-Auto Motorcycle &amp; Marine Mechanics Institute Division-Orlando</t>
  </si>
  <si>
    <t>Universal Technical Institute-Bloomfield</t>
  </si>
  <si>
    <t>Universal Technical Institute-Dallas Fort Worth</t>
  </si>
  <si>
    <t>Universal Technical Institute-Southern California</t>
  </si>
  <si>
    <t>Universal Technical Institute-West Texas</t>
  </si>
  <si>
    <t>Universal Technology College of Puerto Rico</t>
  </si>
  <si>
    <t>Universal Training Institute</t>
  </si>
  <si>
    <t>Universidad Adventista de las Antillas</t>
  </si>
  <si>
    <t>Universidad Ana G. Mendez-Carolina Campus</t>
  </si>
  <si>
    <t>Universidad Ana G. Mendez-Cupey Campus</t>
  </si>
  <si>
    <t>Universidad Ana G. Mendez-Gurabo Campus</t>
  </si>
  <si>
    <t>Universidad Central de Bayamon</t>
  </si>
  <si>
    <t>Universidad Central Del Caribe</t>
  </si>
  <si>
    <t>Universidad del Sagrado Corazon</t>
  </si>
  <si>
    <t>Universidad Pentecostal Mizpa</t>
  </si>
  <si>
    <t>Universidad Politecnica de Puerto Rico</t>
  </si>
  <si>
    <t>Universidad Teologica del Caribe</t>
  </si>
  <si>
    <t>University Academy of Hair Design</t>
  </si>
  <si>
    <t>University at Buffalo</t>
  </si>
  <si>
    <t>University of Advancing Technology</t>
  </si>
  <si>
    <t>University of Aesthetics &amp; Cosmetology</t>
  </si>
  <si>
    <t>University of Akron Main Campus</t>
  </si>
  <si>
    <t>University of Akron Wayne College</t>
  </si>
  <si>
    <t>University of Alabama at Birmingham</t>
  </si>
  <si>
    <t>University of Alabama in Huntsville</t>
  </si>
  <si>
    <t>University of Alabama System Office</t>
  </si>
  <si>
    <t>University of Alaska Anchorage</t>
  </si>
  <si>
    <t>University of Alaska Fairbanks</t>
  </si>
  <si>
    <t>University of Alaska Southeast</t>
  </si>
  <si>
    <t>University of Alaska System of Higher Education</t>
  </si>
  <si>
    <t>University of Antelope Valley</t>
  </si>
  <si>
    <t>University of Arizona</t>
  </si>
  <si>
    <t>University of Arizona-Sierra Vista</t>
  </si>
  <si>
    <t>University of Arkansas</t>
  </si>
  <si>
    <t>University of Arkansas at Little Rock</t>
  </si>
  <si>
    <t>University of Arkansas at Monticello</t>
  </si>
  <si>
    <t>University of Arkansas at Pine Bluff</t>
  </si>
  <si>
    <t>University of Arkansas Community College Rich Mountain</t>
  </si>
  <si>
    <t>University of Arkansas Community College-Batesville</t>
  </si>
  <si>
    <t>University of Arkansas Community College-Morrilton</t>
  </si>
  <si>
    <t>University of Arkansas for Medical Sciences</t>
  </si>
  <si>
    <t>University of Arkansas Hope-Texarkana</t>
  </si>
  <si>
    <t>University of Arkansas System eVersity</t>
  </si>
  <si>
    <t>University of Arkansas System Office</t>
  </si>
  <si>
    <t>University of Arkansas-Fort Smith</t>
  </si>
  <si>
    <t>University of Arkansas-Pulaski Technical College</t>
  </si>
  <si>
    <t>University of Baltimore</t>
  </si>
  <si>
    <t>University of Bridgeport</t>
  </si>
  <si>
    <t>University of California-Berkeley</t>
  </si>
  <si>
    <t>University of California-Davis</t>
  </si>
  <si>
    <t>University of California-Hastings College of Law</t>
  </si>
  <si>
    <t>University of California-Irvine</t>
  </si>
  <si>
    <t>University of California-Los Angeles</t>
  </si>
  <si>
    <t>University of California-Merced</t>
  </si>
  <si>
    <t>University of California-Riverside</t>
  </si>
  <si>
    <t>University of California-San Diego</t>
  </si>
  <si>
    <t>University of California-San Francisco</t>
  </si>
  <si>
    <t>University of California-Santa Barbara</t>
  </si>
  <si>
    <t>University of California-Santa Cruz</t>
  </si>
  <si>
    <t>University of California-System Administration Central Office</t>
  </si>
  <si>
    <t>University of Central Arkansas</t>
  </si>
  <si>
    <t>University of Central Florida</t>
  </si>
  <si>
    <t>University of Central Missouri</t>
  </si>
  <si>
    <t>University of Central Oklahoma</t>
  </si>
  <si>
    <t>University of Charleston</t>
  </si>
  <si>
    <t>University of Chicago</t>
  </si>
  <si>
    <t>University of Cincinnati-Blue Ash College</t>
  </si>
  <si>
    <t>University of Cincinnati-Clermont College</t>
  </si>
  <si>
    <t>University of Cincinnati-Main Campus</t>
  </si>
  <si>
    <t>University of Colorado Boulder</t>
  </si>
  <si>
    <t>University of Colorado Colorado Springs</t>
  </si>
  <si>
    <t>University of Colorado Denver/Anschutz Medical Campus</t>
  </si>
  <si>
    <t>University of Colorado System Office</t>
  </si>
  <si>
    <t>University of Connecticut</t>
  </si>
  <si>
    <t>University of Connecticut-Avery Point</t>
  </si>
  <si>
    <t>University of Connecticut-Hartford Campus</t>
  </si>
  <si>
    <t>University of Connecticut-Stamford</t>
  </si>
  <si>
    <t>University of Connecticut-Waterbury Campus</t>
  </si>
  <si>
    <t>University of Dallas</t>
  </si>
  <si>
    <t>University of Dayton</t>
  </si>
  <si>
    <t>University of Delaware</t>
  </si>
  <si>
    <t>University of Denver</t>
  </si>
  <si>
    <t>University of Detroit Mercy</t>
  </si>
  <si>
    <t>University of Dubuque</t>
  </si>
  <si>
    <t>University of East-West Medicine</t>
  </si>
  <si>
    <t>University of Evansville</t>
  </si>
  <si>
    <t>University of Florida</t>
  </si>
  <si>
    <t>University of Florida-Online</t>
  </si>
  <si>
    <t>University of Fort Lauderdale</t>
  </si>
  <si>
    <t>University of Georgia</t>
  </si>
  <si>
    <t>University of Guam</t>
  </si>
  <si>
    <t>University of Hartford</t>
  </si>
  <si>
    <t>University of Hawaii at Hilo</t>
  </si>
  <si>
    <t>University of Hawaii at Manoa</t>
  </si>
  <si>
    <t>University of Hawaii Maui College</t>
  </si>
  <si>
    <t>University of Hawaii System Office</t>
  </si>
  <si>
    <t>University of Hawaii-West Oahu</t>
  </si>
  <si>
    <t>University of Health Sciences and Pharmacy in St. Louis</t>
  </si>
  <si>
    <t>University of Holy Cross</t>
  </si>
  <si>
    <t>University of Houston</t>
  </si>
  <si>
    <t>University of Houston-Clear Lake</t>
  </si>
  <si>
    <t>University of Houston-Downtown</t>
  </si>
  <si>
    <t>University of Houston-System Administration</t>
  </si>
  <si>
    <t>University of Houston-Victoria</t>
  </si>
  <si>
    <t>University of Idaho</t>
  </si>
  <si>
    <t>University of Illinois Chicago</t>
  </si>
  <si>
    <t>University of Illinois Springfield</t>
  </si>
  <si>
    <t>University of Illinois System Offices</t>
  </si>
  <si>
    <t>University of Illinois Urbana-Champaign</t>
  </si>
  <si>
    <t>University of Indianapolis</t>
  </si>
  <si>
    <t>University of Iowa</t>
  </si>
  <si>
    <t>University of Jamestown</t>
  </si>
  <si>
    <t>University of Kansas</t>
  </si>
  <si>
    <t>University of Kentucky</t>
  </si>
  <si>
    <t>University of La Verne</t>
  </si>
  <si>
    <t>University of Louisiana at Lafayette</t>
  </si>
  <si>
    <t>University of Louisiana at Monroe</t>
  </si>
  <si>
    <t>University of Louisiana-System Administration</t>
  </si>
  <si>
    <t>University of Louisville</t>
  </si>
  <si>
    <t>University of Lynchburg</t>
  </si>
  <si>
    <t>University of Maine</t>
  </si>
  <si>
    <t>University of Maine at Augusta</t>
  </si>
  <si>
    <t>University of Maine at Farmington</t>
  </si>
  <si>
    <t>University of Maine at Fort Kent</t>
  </si>
  <si>
    <t>University of Maine at Machias</t>
  </si>
  <si>
    <t>University of Maine at Presque Isle</t>
  </si>
  <si>
    <t>University of Maine-System Central Office</t>
  </si>
  <si>
    <t>University of Management and Technology</t>
  </si>
  <si>
    <t>University of Mary</t>
  </si>
  <si>
    <t>University of Mary Hardin-Baylor</t>
  </si>
  <si>
    <t>University of Mary Washington</t>
  </si>
  <si>
    <t>University of Maryland Eastern Shore</t>
  </si>
  <si>
    <t>University of Maryland Global Campus</t>
  </si>
  <si>
    <t>University of Maryland, Baltimore</t>
  </si>
  <si>
    <t>University of Maryland-Baltimore County</t>
  </si>
  <si>
    <t>University of Maryland-College Park</t>
  </si>
  <si>
    <t>University of Massachusetts Global</t>
  </si>
  <si>
    <t>University of Massachusetts Medical School Worcester</t>
  </si>
  <si>
    <t>University of Massachusetts-Amherst</t>
  </si>
  <si>
    <t>University of Massachusetts-Boston</t>
  </si>
  <si>
    <t>University of Massachusetts-Central Office</t>
  </si>
  <si>
    <t>University of Massachusetts-Dartmouth</t>
  </si>
  <si>
    <t>University of Massachusetts-Lowell</t>
  </si>
  <si>
    <t>University of Memphis</t>
  </si>
  <si>
    <t>University of Miami</t>
  </si>
  <si>
    <t>University of Michigan-Ann Arbor</t>
  </si>
  <si>
    <t>University of Michigan-Dearborn</t>
  </si>
  <si>
    <t>University of Michigan-Flint</t>
  </si>
  <si>
    <t>University of Minnesota-Crookston</t>
  </si>
  <si>
    <t>University of Minnesota-Duluth</t>
  </si>
  <si>
    <t>University of Minnesota-Morris</t>
  </si>
  <si>
    <t>University of Minnesota-Rochester</t>
  </si>
  <si>
    <t>University of Minnesota-Twin Cities</t>
  </si>
  <si>
    <t>University of Mississippi</t>
  </si>
  <si>
    <t>University of Missouri-Columbia</t>
  </si>
  <si>
    <t>University of Missouri-Kansas City</t>
  </si>
  <si>
    <t>University of Missouri-St Louis</t>
  </si>
  <si>
    <t>University of Missouri-System Office</t>
  </si>
  <si>
    <t>University of Mobile</t>
  </si>
  <si>
    <t>University of Montevallo</t>
  </si>
  <si>
    <t>University of Mount Olive</t>
  </si>
  <si>
    <t>University of Mount Union</t>
  </si>
  <si>
    <t>University of Nebraska at Kearney</t>
  </si>
  <si>
    <t>University of Nebraska at Omaha</t>
  </si>
  <si>
    <t>University of Nebraska Medical Center</t>
  </si>
  <si>
    <t>University of Nebraska-Central Administration System Office</t>
  </si>
  <si>
    <t>University of Nebraska-Lincoln</t>
  </si>
  <si>
    <t>University of Nevada-Las Vegas</t>
  </si>
  <si>
    <t>University of Nevada-Reno</t>
  </si>
  <si>
    <t>University of New England</t>
  </si>
  <si>
    <t>University of New Hampshire at Manchester</t>
  </si>
  <si>
    <t>University of New Hampshire-Franklin Pierce School of Law</t>
  </si>
  <si>
    <t>University of New Hampshire-Main Campus</t>
  </si>
  <si>
    <t>University of New Haven</t>
  </si>
  <si>
    <t>University of New Mexico-Gallup Campus</t>
  </si>
  <si>
    <t>University of New Mexico-Los Alamos Campus</t>
  </si>
  <si>
    <t>University of New Mexico-Main Campus</t>
  </si>
  <si>
    <t>University of New Mexico-Taos Campus</t>
  </si>
  <si>
    <t>University of New Mexico-Valencia County Campus</t>
  </si>
  <si>
    <t>University of New Orleans</t>
  </si>
  <si>
    <t>University of North Alabama</t>
  </si>
  <si>
    <t>University of North Carolina at Asheville</t>
  </si>
  <si>
    <t>University of North Carolina at Chapel Hill</t>
  </si>
  <si>
    <t>University of North Carolina at Charlotte</t>
  </si>
  <si>
    <t>University of North Carolina at Greensboro</t>
  </si>
  <si>
    <t>University of North Carolina at Pembroke</t>
  </si>
  <si>
    <t>University of North Carolina School of the Arts</t>
  </si>
  <si>
    <t>University of North Carolina System</t>
  </si>
  <si>
    <t>University of North Carolina Wilmington</t>
  </si>
  <si>
    <t>University of North Dakota</t>
  </si>
  <si>
    <t>University of North Florida</t>
  </si>
  <si>
    <t>University of North Georgia</t>
  </si>
  <si>
    <t>University of North Texas</t>
  </si>
  <si>
    <t>University of North Texas at Dallas</t>
  </si>
  <si>
    <t>University of North Texas Health Science Center</t>
  </si>
  <si>
    <t>University of North Texas System</t>
  </si>
  <si>
    <t>University of Northern Colorado</t>
  </si>
  <si>
    <t>University of Northern Iowa</t>
  </si>
  <si>
    <t>University of Northwestern Ohio</t>
  </si>
  <si>
    <t>University of Northwestern-St Paul</t>
  </si>
  <si>
    <t>University of Notre Dame</t>
  </si>
  <si>
    <t>University of Oklahoma-Health Sciences Center</t>
  </si>
  <si>
    <t>University of Oklahoma-Norman Campus</t>
  </si>
  <si>
    <t>University of Oregon</t>
  </si>
  <si>
    <t>University of Pennsylvania</t>
  </si>
  <si>
    <t>University of Phoenix-Arizona</t>
  </si>
  <si>
    <t>University of Phoenix-California</t>
  </si>
  <si>
    <t>University of Phoenix-Florida</t>
  </si>
  <si>
    <t>University of Phoenix-Georgia</t>
  </si>
  <si>
    <t>University of Phoenix-Hawaii</t>
  </si>
  <si>
    <t>University of Phoenix-Illinois</t>
  </si>
  <si>
    <t>University of Phoenix-Nevada</t>
  </si>
  <si>
    <t>University of Phoenix-New Jersey</t>
  </si>
  <si>
    <t>University of Phoenix-Texas</t>
  </si>
  <si>
    <t>University of Phoenix-Utah</t>
  </si>
  <si>
    <t>University of Pikeville</t>
  </si>
  <si>
    <t>University of Pittsburgh-Bradford</t>
  </si>
  <si>
    <t>University of Pittsburgh-Greensburg</t>
  </si>
  <si>
    <t>University of Pittsburgh-Johnstown</t>
  </si>
  <si>
    <t>University of Pittsburgh-Pittsburgh Campus</t>
  </si>
  <si>
    <t>University of Pittsburgh-Titusville</t>
  </si>
  <si>
    <t>University of Portland</t>
  </si>
  <si>
    <t>University of Providence</t>
  </si>
  <si>
    <t>University of Puerto Rico at Ponce</t>
  </si>
  <si>
    <t>University of Puerto Rico-Aguadilla</t>
  </si>
  <si>
    <t>University of Puerto Rico-Arecibo</t>
  </si>
  <si>
    <t>University of Puerto Rico-Bayamon</t>
  </si>
  <si>
    <t>University of Puerto Rico-Carolina</t>
  </si>
  <si>
    <t>University of Puerto Rico-Cayey</t>
  </si>
  <si>
    <t>University of Puerto Rico-Central Administration</t>
  </si>
  <si>
    <t>University of Puerto Rico-Humacao</t>
  </si>
  <si>
    <t>University of Puerto Rico-Mayaguez</t>
  </si>
  <si>
    <t>University of Puerto Rico-Medical Sciences</t>
  </si>
  <si>
    <t>University of Puerto Rico-Rio Piedras</t>
  </si>
  <si>
    <t>University of Puerto Rico-Utuado</t>
  </si>
  <si>
    <t>University of Puget Sound</t>
  </si>
  <si>
    <t>University of Redlands</t>
  </si>
  <si>
    <t>University of Rhode Island</t>
  </si>
  <si>
    <t>University of Richmond</t>
  </si>
  <si>
    <t>University of Rio Grande</t>
  </si>
  <si>
    <t>University of Rochester</t>
  </si>
  <si>
    <t>University of Saint Francis-Fort Wayne</t>
  </si>
  <si>
    <t>University of Saint Joseph</t>
  </si>
  <si>
    <t>University of Saint Katherine</t>
  </si>
  <si>
    <t>University of Saint Mary</t>
  </si>
  <si>
    <t>University of Saint Mary of the Lake</t>
  </si>
  <si>
    <t>University of San Diego</t>
  </si>
  <si>
    <t>University of San Francisco</t>
  </si>
  <si>
    <t>University of Science and Arts of Oklahoma</t>
  </si>
  <si>
    <t>University of Scranton</t>
  </si>
  <si>
    <t>University of Silicon Valley</t>
  </si>
  <si>
    <t>University of Sioux Falls</t>
  </si>
  <si>
    <t>University of South Alabama</t>
  </si>
  <si>
    <t>University of South Carolina Aiken</t>
  </si>
  <si>
    <t>University of South Carolina Beaufort</t>
  </si>
  <si>
    <t>University of South Carolina-Columbia</t>
  </si>
  <si>
    <t>University of South Carolina-Lancaster</t>
  </si>
  <si>
    <t>University of South Carolina-Salkehatchie</t>
  </si>
  <si>
    <t>University of South Carolina-Sumter</t>
  </si>
  <si>
    <t>University of South Carolina-Union</t>
  </si>
  <si>
    <t>University of South Carolina-Upstate</t>
  </si>
  <si>
    <t>University of South Dakota</t>
  </si>
  <si>
    <t>University of South Florida</t>
  </si>
  <si>
    <t>University of Southern California</t>
  </si>
  <si>
    <t>University of Southern Indiana</t>
  </si>
  <si>
    <t>University of Southern Maine</t>
  </si>
  <si>
    <t>University of Southern Mississippi</t>
  </si>
  <si>
    <t>University of Spa &amp; Cosmetology Arts</t>
  </si>
  <si>
    <t>University of St Francis</t>
  </si>
  <si>
    <t>University of St Thomas</t>
  </si>
  <si>
    <t>University of St. Augustine for Health Sciences</t>
  </si>
  <si>
    <t>University of Texas Health Science Center at Tyler</t>
  </si>
  <si>
    <t>University of Texas Southwestern Medical Center</t>
  </si>
  <si>
    <t>University of the Cumberlands</t>
  </si>
  <si>
    <t>University of the District of Columbia</t>
  </si>
  <si>
    <t>University of the District of Columbia-David A Clarke School of Law</t>
  </si>
  <si>
    <t>University of the Incarnate Word</t>
  </si>
  <si>
    <t>University of the Ozarks</t>
  </si>
  <si>
    <t>University of the Pacific</t>
  </si>
  <si>
    <t>University of the People</t>
  </si>
  <si>
    <t>University of the Potomac-VA Campus</t>
  </si>
  <si>
    <t>University of the Potomac-Washington DC Campus</t>
  </si>
  <si>
    <t>University of the Sciences</t>
  </si>
  <si>
    <t>University of the Southwest</t>
  </si>
  <si>
    <t>University of the Virgin Islands</t>
  </si>
  <si>
    <t>University of the West</t>
  </si>
  <si>
    <t>University of Toledo</t>
  </si>
  <si>
    <t>University of Tulsa</t>
  </si>
  <si>
    <t>University of Utah</t>
  </si>
  <si>
    <t>University of Valley Forge</t>
  </si>
  <si>
    <t>University of Vermont</t>
  </si>
  <si>
    <t>University of Virginia-Main Campus</t>
  </si>
  <si>
    <t>University of Virginia's College at Wise</t>
  </si>
  <si>
    <t>University of Washington-Bothell Campus</t>
  </si>
  <si>
    <t>University of Washington-Seattle Campus</t>
  </si>
  <si>
    <t>University of Washington-Tacoma Campus</t>
  </si>
  <si>
    <t>University of West Alabama</t>
  </si>
  <si>
    <t>University of West Georgia</t>
  </si>
  <si>
    <t>University of West Los Angeles</t>
  </si>
  <si>
    <t>University of Western States</t>
  </si>
  <si>
    <t>University of Wisconsin-Eau Claire</t>
  </si>
  <si>
    <t>University of Wisconsin-Green Bay</t>
  </si>
  <si>
    <t>University of Wisconsin-La Crosse</t>
  </si>
  <si>
    <t>University of Wisconsin-Madison</t>
  </si>
  <si>
    <t>University of Wisconsin-Milwaukee</t>
  </si>
  <si>
    <t>University of Wisconsin-Milwaukee Flex</t>
  </si>
  <si>
    <t>University of Wisconsin-Oshkosh</t>
  </si>
  <si>
    <t>University of Wisconsin-Parkside</t>
  </si>
  <si>
    <t>University of Wisconsin-Parkside Flex</t>
  </si>
  <si>
    <t>University of Wisconsin-Platteville</t>
  </si>
  <si>
    <t>University of Wisconsin-River Falls</t>
  </si>
  <si>
    <t>University of Wisconsin-Stevens Point</t>
  </si>
  <si>
    <t>University of Wisconsin-Stout</t>
  </si>
  <si>
    <t>University of Wisconsin-Superior</t>
  </si>
  <si>
    <t>University of Wisconsin-System Administration</t>
  </si>
  <si>
    <t>University of Wisconsin-Whitewater</t>
  </si>
  <si>
    <t>University of Wyoming</t>
  </si>
  <si>
    <t>University System of Maryland</t>
  </si>
  <si>
    <t>University System of Maryland-Research Centers</t>
  </si>
  <si>
    <t>University System of New Hampshire System Office</t>
  </si>
  <si>
    <t>Unlimited Cosmetology School</t>
  </si>
  <si>
    <t>UPMC Jameson School of Nursing</t>
  </si>
  <si>
    <t>UPMC Mercy School of Nursing</t>
  </si>
  <si>
    <t>UPMC Shadyside School of Nursing</t>
  </si>
  <si>
    <t>UPMC St. Margaret School of Nursing</t>
  </si>
  <si>
    <t>Upper Cape Cod Regional Technical School</t>
  </si>
  <si>
    <t>Upper Iowa University</t>
  </si>
  <si>
    <t>Upper Valley Career Center</t>
  </si>
  <si>
    <t>Upper Valley Educators Institute</t>
  </si>
  <si>
    <t>Upstate Medical University</t>
  </si>
  <si>
    <t>UR Beauty &amp; Barber Academy</t>
  </si>
  <si>
    <t>Urban Barber College</t>
  </si>
  <si>
    <t>Urban College of Boston</t>
  </si>
  <si>
    <t>Urshan College</t>
  </si>
  <si>
    <t>Urshan Graduate School of Theology</t>
  </si>
  <si>
    <t>Ursinus College</t>
  </si>
  <si>
    <t>Ursuline College</t>
  </si>
  <si>
    <t>Uta Mesivta of Kiryas Joel</t>
  </si>
  <si>
    <t>Utah State University</t>
  </si>
  <si>
    <t>Utah Valley University</t>
  </si>
  <si>
    <t>Utica University</t>
  </si>
  <si>
    <t>Valdosta State University</t>
  </si>
  <si>
    <t>Valencia College</t>
  </si>
  <si>
    <t>Valley City State University</t>
  </si>
  <si>
    <t>Valley College of Medical Careers</t>
  </si>
  <si>
    <t>Valley College-Beckley</t>
  </si>
  <si>
    <t>Valley College-Cleveland</t>
  </si>
  <si>
    <t>Valley College-Martinsburg</t>
  </si>
  <si>
    <t>Valley Forge Military College</t>
  </si>
  <si>
    <t>Valley Grande Institute for Academic Studies</t>
  </si>
  <si>
    <t>Valor Christian College</t>
  </si>
  <si>
    <t>Valparaiso University</t>
  </si>
  <si>
    <t>Vance-Granville Community College</t>
  </si>
  <si>
    <t>Vanderbilt University</t>
  </si>
  <si>
    <t>VanderCook College of Music</t>
  </si>
  <si>
    <t>Vanguard College of Cosmetology-Baton Rouge</t>
  </si>
  <si>
    <t>Vanguard College of Cosmetology-Metairie</t>
  </si>
  <si>
    <t>Vanguard University of Southern California</t>
  </si>
  <si>
    <t>Vanguard-Sentinel Adult Career and Technology Center</t>
  </si>
  <si>
    <t>Vantage Career Center</t>
  </si>
  <si>
    <t>Vassar College</t>
  </si>
  <si>
    <t>Vaughn Beauty College</t>
  </si>
  <si>
    <t>Vaughn College of Aeronautics and Technology</t>
  </si>
  <si>
    <t>Veeb Nassau County School of Practical Nursing</t>
  </si>
  <si>
    <t>Velvatex College of Beauty Culture</t>
  </si>
  <si>
    <t>Venango County Area Vocational Technical School</t>
  </si>
  <si>
    <t>Ventura Adult and Continuing Education</t>
  </si>
  <si>
    <t>Ventura College</t>
  </si>
  <si>
    <t>Ventura County Community College System Office</t>
  </si>
  <si>
    <t>Venus Beauty Academy</t>
  </si>
  <si>
    <t>Veritas Baptist College</t>
  </si>
  <si>
    <t>Vermilion Community College</t>
  </si>
  <si>
    <t>Vermont College of Fine Arts</t>
  </si>
  <si>
    <t>Vermont Law School</t>
  </si>
  <si>
    <t>Vermont State Colleges-Office of the Chancellor</t>
  </si>
  <si>
    <t>Vermont Technical College</t>
  </si>
  <si>
    <t>Vernon College</t>
  </si>
  <si>
    <t>Verve College</t>
  </si>
  <si>
    <t>Vet Tech Institute</t>
  </si>
  <si>
    <t>Vet Tech Institute of Houston</t>
  </si>
  <si>
    <t>VH Barber &amp; Styling Academy</t>
  </si>
  <si>
    <t>Vibe Barber College</t>
  </si>
  <si>
    <t>VICI Beauty School</t>
  </si>
  <si>
    <t>Victor Valley College</t>
  </si>
  <si>
    <t>Victoria Beauty College Inc</t>
  </si>
  <si>
    <t>Victoria College</t>
  </si>
  <si>
    <t>Victoria's Academy of Cosmetology</t>
  </si>
  <si>
    <t>Victory Career College</t>
  </si>
  <si>
    <t>Villa Maria College</t>
  </si>
  <si>
    <t>Villanova University</t>
  </si>
  <si>
    <t>Vincennes Beauty College</t>
  </si>
  <si>
    <t>Vincennes University</t>
  </si>
  <si>
    <t>Virginia Beach City Public Schools School of Practical Nursing</t>
  </si>
  <si>
    <t>Virginia Beach Theological Seminary</t>
  </si>
  <si>
    <t>Virginia Commonwealth University</t>
  </si>
  <si>
    <t>Virginia Highlands Community College</t>
  </si>
  <si>
    <t>Virginia Military Institute</t>
  </si>
  <si>
    <t>Virginia Peninsula Community College</t>
  </si>
  <si>
    <t>Virginia Polytechnic Institute and State University</t>
  </si>
  <si>
    <t>Virginia State University</t>
  </si>
  <si>
    <t>Virginia Union University</t>
  </si>
  <si>
    <t>Virginia University of Integrative Medicine</t>
  </si>
  <si>
    <t>Virginia University of Lynchburg</t>
  </si>
  <si>
    <t>Virginia Wesleyan University</t>
  </si>
  <si>
    <t>Virginia Western Community College</t>
  </si>
  <si>
    <t>Visible Music College</t>
  </si>
  <si>
    <t>Vista Adult School</t>
  </si>
  <si>
    <t>Vista College</t>
  </si>
  <si>
    <t>Vista College-Online</t>
  </si>
  <si>
    <t>Viterbo University</t>
  </si>
  <si>
    <t>Vogue College of Cosmetology</t>
  </si>
  <si>
    <t>Vogue College of Cosmetology-McAllen</t>
  </si>
  <si>
    <t>Vogue College of Cosmetology-San Antonio Fredericksburg</t>
  </si>
  <si>
    <t>Vogue College of Cosmetology-Santa Fe</t>
  </si>
  <si>
    <t>Vogue International Academy</t>
  </si>
  <si>
    <t>Volunteer State Community College</t>
  </si>
  <si>
    <t>Voorhees College</t>
  </si>
  <si>
    <t>Vski Cosmetology School</t>
  </si>
  <si>
    <t>W L Bonner College</t>
  </si>
  <si>
    <t>Wabash College</t>
  </si>
  <si>
    <t>Wabash Valley College</t>
  </si>
  <si>
    <t>Wade College</t>
  </si>
  <si>
    <t>Wade Gordon Hairdressing Academy</t>
  </si>
  <si>
    <t>Wade Gordon Hairdressing Academy-Lubbock</t>
  </si>
  <si>
    <t>Wagner College</t>
  </si>
  <si>
    <t>Wake Forest University</t>
  </si>
  <si>
    <t>Wake Technical Community College</t>
  </si>
  <si>
    <t>Walden University</t>
  </si>
  <si>
    <t>Waldorf University</t>
  </si>
  <si>
    <t>Walla Walla Community College</t>
  </si>
  <si>
    <t>Walla Walla University</t>
  </si>
  <si>
    <t>Walnut Hill College</t>
  </si>
  <si>
    <t>Walsh College</t>
  </si>
  <si>
    <t>Walsh University</t>
  </si>
  <si>
    <t>Walters State Community College</t>
  </si>
  <si>
    <t>Warner Pacific University</t>
  </si>
  <si>
    <t>Warner Pacific University Professional and Graduate Studies</t>
  </si>
  <si>
    <t>Warner University</t>
  </si>
  <si>
    <t>Warren County Career Center</t>
  </si>
  <si>
    <t>Warren County Community College</t>
  </si>
  <si>
    <t>Warren Wilson College</t>
  </si>
  <si>
    <t>Warrensburg Area Career Center</t>
  </si>
  <si>
    <t>Wartburg College</t>
  </si>
  <si>
    <t>Wartburg Theological Seminary</t>
  </si>
  <si>
    <t>Washburn Institute of Technology</t>
  </si>
  <si>
    <t>Washburn University</t>
  </si>
  <si>
    <t>Washington &amp; Jefferson College</t>
  </si>
  <si>
    <t>Washington Adventist University</t>
  </si>
  <si>
    <t>Washington and Lee University</t>
  </si>
  <si>
    <t>Washington Barber College Inc</t>
  </si>
  <si>
    <t>Washington College</t>
  </si>
  <si>
    <t>Washington County Career Center-Adult Technical Training</t>
  </si>
  <si>
    <t>Washington County Community College</t>
  </si>
  <si>
    <t>Washington Health System School of Nursing</t>
  </si>
  <si>
    <t>Washington Saratoga Warren Hamilton Essex BOCES-Practical Nursing Program</t>
  </si>
  <si>
    <t>Washington State Community College</t>
  </si>
  <si>
    <t>Washington State University</t>
  </si>
  <si>
    <t>Washington University in St Louis</t>
  </si>
  <si>
    <t>Washtenaw Community College</t>
  </si>
  <si>
    <t>Watts School of Nursing</t>
  </si>
  <si>
    <t>Waubonsee Community College</t>
  </si>
  <si>
    <t>Waukesha County Technical College</t>
  </si>
  <si>
    <t>Wave Leadership College</t>
  </si>
  <si>
    <t>Wayland Baptist University</t>
  </si>
  <si>
    <t>Wayne Community College</t>
  </si>
  <si>
    <t>Wayne County Community College District</t>
  </si>
  <si>
    <t>Wayne County Schools Career Center</t>
  </si>
  <si>
    <t>Wayne Finger Lakes BOCES-Practical Nursing Program</t>
  </si>
  <si>
    <t>Wayne State College</t>
  </si>
  <si>
    <t>Wayne State University</t>
  </si>
  <si>
    <t>Waynes College of Beauty</t>
  </si>
  <si>
    <t>Waynesburg University</t>
  </si>
  <si>
    <t>Waynesville Career Center</t>
  </si>
  <si>
    <t>Weatherford College</t>
  </si>
  <si>
    <t>Webb Institute</t>
  </si>
  <si>
    <t>Webber International University</t>
  </si>
  <si>
    <t>Webb's Barber School of Arts</t>
  </si>
  <si>
    <t>Weber State University</t>
  </si>
  <si>
    <t>Webster University</t>
  </si>
  <si>
    <t>Weill Medical College of Cornell University</t>
  </si>
  <si>
    <t>Welch College</t>
  </si>
  <si>
    <t>Welder Training and Testing Institute</t>
  </si>
  <si>
    <t>Wellesley College</t>
  </si>
  <si>
    <t>Wells College</t>
  </si>
  <si>
    <t>WellSpring School of Allied Health-Kansas City</t>
  </si>
  <si>
    <t>WellSpring School of Allied Health-Lawrence</t>
  </si>
  <si>
    <t>WellSpring School of Allied Health-Springfield</t>
  </si>
  <si>
    <t>WellSpring School of Allied Health-Wichita</t>
  </si>
  <si>
    <t>Wenatchee Valley College</t>
  </si>
  <si>
    <t>Wentworth Institute of Technology</t>
  </si>
  <si>
    <t>Wes Watkins Technology Center</t>
  </si>
  <si>
    <t>Wesley Biblical Seminary</t>
  </si>
  <si>
    <t>Wesley College</t>
  </si>
  <si>
    <t>Wesley Theological Seminary</t>
  </si>
  <si>
    <t>Wesleyan College</t>
  </si>
  <si>
    <t>Wesleyan University</t>
  </si>
  <si>
    <t>West Chester University of Pennsylvania</t>
  </si>
  <si>
    <t>West Coast University-Center for Graduate Studies</t>
  </si>
  <si>
    <t>West Coast University-Dallas</t>
  </si>
  <si>
    <t>West Coast University-Los Angeles</t>
  </si>
  <si>
    <t>West Coast University-Miami</t>
  </si>
  <si>
    <t>West Coast University-Ontario</t>
  </si>
  <si>
    <t>West Coast University-Orange County</t>
  </si>
  <si>
    <t>West Georgia Technical College</t>
  </si>
  <si>
    <t>West Hills College-Coalinga</t>
  </si>
  <si>
    <t>West Hills College-Lemoore</t>
  </si>
  <si>
    <t>West Hills Community College District</t>
  </si>
  <si>
    <t>West Kentucky Community and Technical College</t>
  </si>
  <si>
    <t>West Liberty University</t>
  </si>
  <si>
    <t>West Los Angeles College</t>
  </si>
  <si>
    <t>West Michigan College of Barbering and Beauty</t>
  </si>
  <si>
    <t>West Shore Community College</t>
  </si>
  <si>
    <t>West Texas A &amp; M University</t>
  </si>
  <si>
    <t>West Valley College</t>
  </si>
  <si>
    <t>West Valley Mission Community College District Office</t>
  </si>
  <si>
    <t>West Virginia Junior College-Bridgeport</t>
  </si>
  <si>
    <t>West Virginia Junior College-Charleston</t>
  </si>
  <si>
    <t>West Virginia Junior College-Morgantown</t>
  </si>
  <si>
    <t>West Virginia Junior College-United Career Institute</t>
  </si>
  <si>
    <t>West Virginia Northern Community College</t>
  </si>
  <si>
    <t>West Virginia School of Osteopathic Medicine</t>
  </si>
  <si>
    <t>West Virginia State University</t>
  </si>
  <si>
    <t>West Virginia University</t>
  </si>
  <si>
    <t>West Virginia University at Parkersburg</t>
  </si>
  <si>
    <t>West Virginia University Hospital Departments of Rad Tech and Nutrition</t>
  </si>
  <si>
    <t>West Virginia University Institute of Technology</t>
  </si>
  <si>
    <t>West Virginia Wesleyan College</t>
  </si>
  <si>
    <t>Westchester College of Nursing &amp; Allied Health</t>
  </si>
  <si>
    <t>Westchester School for Medical &amp; Dental Assistants</t>
  </si>
  <si>
    <t>Westchester School of Beauty Culture</t>
  </si>
  <si>
    <t>Westcliff University</t>
  </si>
  <si>
    <t>Western Area Career &amp; Technology Center</t>
  </si>
  <si>
    <t>Western Carolina University</t>
  </si>
  <si>
    <t>Western Colorado University</t>
  </si>
  <si>
    <t>Western Connecticut State University</t>
  </si>
  <si>
    <t>Western Dakota Technical College</t>
  </si>
  <si>
    <t>Western Governors University</t>
  </si>
  <si>
    <t>Western Illinois University</t>
  </si>
  <si>
    <t>Western Iowa Tech Community College</t>
  </si>
  <si>
    <t>Western Kentucky University</t>
  </si>
  <si>
    <t>Western Maricopa Education Center</t>
  </si>
  <si>
    <t>Western Michigan University</t>
  </si>
  <si>
    <t>Western Michigan University Homer Stryker M.D. School of Medicine</t>
  </si>
  <si>
    <t>Western Michigan University-Thomas M. Cooley Law School</t>
  </si>
  <si>
    <t>Western Nebraska Community College</t>
  </si>
  <si>
    <t>Western Nevada College</t>
  </si>
  <si>
    <t>Western New England University</t>
  </si>
  <si>
    <t>Western New Mexico University</t>
  </si>
  <si>
    <t>Western Oklahoma State College</t>
  </si>
  <si>
    <t>Western Oregon University</t>
  </si>
  <si>
    <t>Western Pennsylvania Hospital School of Nursing</t>
  </si>
  <si>
    <t>Western Piedmont Community College</t>
  </si>
  <si>
    <t>Western Seminary</t>
  </si>
  <si>
    <t>Western Suffolk BOCES</t>
  </si>
  <si>
    <t>Western Technical College</t>
  </si>
  <si>
    <t>Western Technology Center</t>
  </si>
  <si>
    <t>Western Texas College</t>
  </si>
  <si>
    <t>Western Theological Seminary</t>
  </si>
  <si>
    <t>Western University of Health Sciences</t>
  </si>
  <si>
    <t>Western Washington University</t>
  </si>
  <si>
    <t>Western Wyoming Community College</t>
  </si>
  <si>
    <t>Westfield State University</t>
  </si>
  <si>
    <t>Westminster College</t>
  </si>
  <si>
    <t>Westminster Theological Seminary</t>
  </si>
  <si>
    <t>Westminster Theological Seminary in California</t>
  </si>
  <si>
    <t>Westmont College</t>
  </si>
  <si>
    <t>Westmoreland County Community College</t>
  </si>
  <si>
    <t>Wharton County Junior College</t>
  </si>
  <si>
    <t>Whatcom Community College</t>
  </si>
  <si>
    <t>Wheaton College</t>
  </si>
  <si>
    <t>Wheaton College (Massachusetts)</t>
  </si>
  <si>
    <t>Wheeling University</t>
  </si>
  <si>
    <t>White Earth Tribal and Community College</t>
  </si>
  <si>
    <t>White Mountains Community College</t>
  </si>
  <si>
    <t>Whitman College</t>
  </si>
  <si>
    <t>Whittier College</t>
  </si>
  <si>
    <t>Whitworth University</t>
  </si>
  <si>
    <t>Whitworth University-Adult Degree Programs</t>
  </si>
  <si>
    <t>Wichita State University</t>
  </si>
  <si>
    <t>Wichita State University-Campus of Applied Sciences and Technology</t>
  </si>
  <si>
    <t>Wichita Technical Institute</t>
  </si>
  <si>
    <t>Widener University</t>
  </si>
  <si>
    <t>Wilberforce University</t>
  </si>
  <si>
    <t>Wiley College</t>
  </si>
  <si>
    <t>Wilkes Community College</t>
  </si>
  <si>
    <t>Wilkes University</t>
  </si>
  <si>
    <t>Wilkes-Barre Area Career and Technical Center Practical Nursing</t>
  </si>
  <si>
    <t>Willamette University</t>
  </si>
  <si>
    <t>William &amp; Mary</t>
  </si>
  <si>
    <t>William Carey University</t>
  </si>
  <si>
    <t>William Edge Institute</t>
  </si>
  <si>
    <t>William James College</t>
  </si>
  <si>
    <t>William Jessup University</t>
  </si>
  <si>
    <t>William Jewell College</t>
  </si>
  <si>
    <t>William Paterson University of New Jersey</t>
  </si>
  <si>
    <t>William Peace University</t>
  </si>
  <si>
    <t>William Penn University</t>
  </si>
  <si>
    <t>William R Moore College of Technology</t>
  </si>
  <si>
    <t>William Rainey Harper College</t>
  </si>
  <si>
    <t>William T McFatter Technical College</t>
  </si>
  <si>
    <t>William Woods University</t>
  </si>
  <si>
    <t>Williams Baptist University</t>
  </si>
  <si>
    <t>Williams College</t>
  </si>
  <si>
    <t>Williamsburg Technical College</t>
  </si>
  <si>
    <t>Williamson Christian College</t>
  </si>
  <si>
    <t>Williamson College of the Trades</t>
  </si>
  <si>
    <t>Williston State College</t>
  </si>
  <si>
    <t>Wilmington College</t>
  </si>
  <si>
    <t>Wilmington University</t>
  </si>
  <si>
    <t>Wilson College</t>
  </si>
  <si>
    <t>Wilson Community College</t>
  </si>
  <si>
    <t>Windward Community College</t>
  </si>
  <si>
    <t>Winebrenner Theological Seminary</t>
  </si>
  <si>
    <t>Wingate University</t>
  </si>
  <si>
    <t>Winona State University</t>
  </si>
  <si>
    <t>Winonah's International School of Cosmetology</t>
  </si>
  <si>
    <t>Winston Salem Barber School</t>
  </si>
  <si>
    <t>Winston-Salem State University</t>
  </si>
  <si>
    <t>Winthrop University</t>
  </si>
  <si>
    <t>Wiregrass Georgia Technical College</t>
  </si>
  <si>
    <t>Wisconsin Lutheran College</t>
  </si>
  <si>
    <t>Wisconsin School of Professional Psychology</t>
  </si>
  <si>
    <t>Withlacoochee Technical College</t>
  </si>
  <si>
    <t>Wittenberg University</t>
  </si>
  <si>
    <t>Wofford College</t>
  </si>
  <si>
    <t>Women's Institute of Torah Seminary and College</t>
  </si>
  <si>
    <t>Won Institute of Graduate Studies</t>
  </si>
  <si>
    <t>Wongu University of Oriental Medicine</t>
  </si>
  <si>
    <t>Wood County School of Practical Nursing</t>
  </si>
  <si>
    <t>Woodbury University</t>
  </si>
  <si>
    <t>Woodland Community College</t>
  </si>
  <si>
    <t>Woodruff Medical and Wellness Training</t>
  </si>
  <si>
    <t>Worcester Polytechnic Institute</t>
  </si>
  <si>
    <t>Worcester State University</t>
  </si>
  <si>
    <t>Word of Life Bible Institute</t>
  </si>
  <si>
    <t>World Class Academy of Beauty Careers</t>
  </si>
  <si>
    <t>World Mission University</t>
  </si>
  <si>
    <t>Worsham College of Mortuary Science</t>
  </si>
  <si>
    <t>Wor-Wic Community College</t>
  </si>
  <si>
    <t>Wright Graduate University for the Realization of Human Potential</t>
  </si>
  <si>
    <t>Wright State University-Lake Campus</t>
  </si>
  <si>
    <t>Wright State University-Main Campus</t>
  </si>
  <si>
    <t>WyoTech</t>
  </si>
  <si>
    <t>Wytheville Community College</t>
  </si>
  <si>
    <t>Xavier College School of Nursing</t>
  </si>
  <si>
    <t>Xavier University</t>
  </si>
  <si>
    <t>Xavier University of Louisiana</t>
  </si>
  <si>
    <t>Xenon International Academy-Omaha</t>
  </si>
  <si>
    <t>Xtylo Beauty College</t>
  </si>
  <si>
    <t>Yahweh Beauty Academy</t>
  </si>
  <si>
    <t>Yakima Valley College</t>
  </si>
  <si>
    <t>Yale University</t>
  </si>
  <si>
    <t>Yavapai College</t>
  </si>
  <si>
    <t>Yellowstone Christian College</t>
  </si>
  <si>
    <t>Yeshiva Bais Aharon</t>
  </si>
  <si>
    <t>Yeshiva Chemdas Hatorah</t>
  </si>
  <si>
    <t>Yeshiva College of the Nations Capital</t>
  </si>
  <si>
    <t>Yeshiva Derech Chaim</t>
  </si>
  <si>
    <t>Yeshiva D'monsey Rabbinical College</t>
  </si>
  <si>
    <t>Yeshiva Gedola Tiferes Yaakov Yitzchok</t>
  </si>
  <si>
    <t>Yeshiva Gedola Tiferes Yerachmiel</t>
  </si>
  <si>
    <t>Yeshiva Gedolah Imrei Yosef D'spinka</t>
  </si>
  <si>
    <t>Yeshiva Gedolah Keren Hatorah</t>
  </si>
  <si>
    <t>Yeshiva Gedolah Kesser Torah</t>
  </si>
  <si>
    <t>Yeshiva Gedolah of Cliffwood</t>
  </si>
  <si>
    <t>Yeshiva Gedolah of Greater Detroit</t>
  </si>
  <si>
    <t>Yeshiva Gedolah of Woodlake Village</t>
  </si>
  <si>
    <t>Yeshiva Gedolah Shaarei Shmuel</t>
  </si>
  <si>
    <t>Yeshiva Gedolah Tiferes Boruch</t>
  </si>
  <si>
    <t>Yeshiva Gedolah Zichron Leyma</t>
  </si>
  <si>
    <t>Yeshiva Karlin Stolin</t>
  </si>
  <si>
    <t>Yeshiva Kollel Tifereth Elizer</t>
  </si>
  <si>
    <t>Yeshiva of Far Rockaway Derech Ayson Rabbinical Seminary</t>
  </si>
  <si>
    <t>Yeshiva of Machzikai Hadas</t>
  </si>
  <si>
    <t>Yeshiva of Nitra Rabbinical College</t>
  </si>
  <si>
    <t>Yeshiva of Ocean</t>
  </si>
  <si>
    <t>Yeshiva of the Telshe Alumni</t>
  </si>
  <si>
    <t>Yeshiva Ohr Elchonon Chabad West Coast Talmudical Seminary</t>
  </si>
  <si>
    <t>Yeshiva Ohr Naftoli</t>
  </si>
  <si>
    <t>Yeshiva Ohr Yisrael</t>
  </si>
  <si>
    <t>Yeshiva Shaar Ephraim</t>
  </si>
  <si>
    <t>Yeshiva Shaar Hatorah</t>
  </si>
  <si>
    <t>Yeshiva Shaarei Torah of Rockland</t>
  </si>
  <si>
    <t>Yeshiva Sholom Shachna</t>
  </si>
  <si>
    <t>Yeshiva Toras Chaim</t>
  </si>
  <si>
    <t>Yeshiva University</t>
  </si>
  <si>
    <t>Yeshiva Yesoda Hatorah Vetz Chaim</t>
  </si>
  <si>
    <t>Yeshiva Yesodei Hatorah</t>
  </si>
  <si>
    <t>Yeshiva Zichron Aryeh</t>
  </si>
  <si>
    <t>Yeshivah Gedolah Rabbinical College</t>
  </si>
  <si>
    <t>Yeshivas Be'er Yitzchok</t>
  </si>
  <si>
    <t>Yeshivas Emek Hatorah</t>
  </si>
  <si>
    <t>Yeshivas Maharit D'Satmar</t>
  </si>
  <si>
    <t>Yeshivas Novominsk</t>
  </si>
  <si>
    <t>Yeshivat Hechal Shemuel</t>
  </si>
  <si>
    <t>Yeshivath Beth Moshe</t>
  </si>
  <si>
    <t>Yeshivath Viznitz</t>
  </si>
  <si>
    <t>Yeshivath Zichron Moshe</t>
  </si>
  <si>
    <t>Yo San University of Traditional Chinese Medicine</t>
  </si>
  <si>
    <t>York College</t>
  </si>
  <si>
    <t>York College of Pennsylvania</t>
  </si>
  <si>
    <t>York County Community College</t>
  </si>
  <si>
    <t>York County School of Technology-Adult &amp; Continuing Education</t>
  </si>
  <si>
    <t>York Technical College</t>
  </si>
  <si>
    <t>Yosemite Community College District Office</t>
  </si>
  <si>
    <t>Young Americans College of the Performing Arts</t>
  </si>
  <si>
    <t>Young Harris College</t>
  </si>
  <si>
    <t>Youngstown State University</t>
  </si>
  <si>
    <t>YTI Career Institute-Altoona</t>
  </si>
  <si>
    <t>YTI Career Institute-York</t>
  </si>
  <si>
    <t>Yuba College</t>
  </si>
  <si>
    <t>Yukon Beauty College Inc</t>
  </si>
  <si>
    <t>Z Hair Academy</t>
  </si>
  <si>
    <t>Zane State College</t>
  </si>
  <si>
    <t>Zaytuna College</t>
  </si>
  <si>
    <t>Zen Shiatsu Chicago</t>
  </si>
  <si>
    <t>Zion Massage College</t>
  </si>
  <si>
    <t>ZMS The Academy</t>
  </si>
  <si>
    <t>Zorganics Institute Beauty and Wellness</t>
  </si>
  <si>
    <t>IPEDS Code</t>
  </si>
  <si>
    <t>School</t>
  </si>
  <si>
    <t>IPEDS</t>
  </si>
  <si>
    <t>Burlington County Institute of Technology - Adult Education -</t>
  </si>
  <si>
    <t>Colegio de Cinematografía Artes y Television</t>
  </si>
  <si>
    <t>Cyrus the Great International Online University</t>
  </si>
  <si>
    <t>Dewey University-Juana Díaz</t>
  </si>
  <si>
    <t>Fayette County Career &amp; Technical Institute -</t>
  </si>
  <si>
    <t>Jersey College - Fort Wayne</t>
  </si>
  <si>
    <t>Jersey College - Port Charlotte</t>
  </si>
  <si>
    <t>Moody Bible Institute -</t>
  </si>
  <si>
    <t>NUC University - Florida Technical College - Tampa</t>
  </si>
  <si>
    <t>Porter and Chester Institute - Chicopee 2</t>
  </si>
  <si>
    <t>Rasmussen University - Orlando</t>
  </si>
  <si>
    <t>Relay Graduate School of Education - Connecticut</t>
  </si>
  <si>
    <t>Shoreline Community College - CNC Machinists Program , Georgetown SSC</t>
  </si>
  <si>
    <t>Shoreline Community College - Dental Hygiene</t>
  </si>
  <si>
    <t>Tohono O'odham Community College</t>
  </si>
  <si>
    <t>University of Maine - Machias</t>
  </si>
  <si>
    <t>UPMC Jameson School of Nursing - UPMC Hamot</t>
  </si>
  <si>
    <t>Valley College - Fairlawn - School of Nursing</t>
  </si>
  <si>
    <t>Virginia University of Integrative Medicine - New Jersey</t>
  </si>
  <si>
    <t>Washington State University - North Puget Sound Everett Campus</t>
  </si>
  <si>
    <t>Index</t>
  </si>
  <si>
    <t>Discipline</t>
  </si>
  <si>
    <t>Slicer</t>
  </si>
  <si>
    <t>Major</t>
  </si>
  <si>
    <t>KeyDegreeIndex</t>
  </si>
  <si>
    <t>Agriculture</t>
  </si>
  <si>
    <t>1 *Agriculture, Agricultural Operations &amp; Related Sciences</t>
  </si>
  <si>
    <t>1 Agriculture</t>
  </si>
  <si>
    <t>1.00 Agriculture, General</t>
  </si>
  <si>
    <t>1.01 Agricultural Business &amp; Management</t>
  </si>
  <si>
    <t>1.02 Agricultural Mechanization</t>
  </si>
  <si>
    <t>1.03 Agricultural Production Operations</t>
  </si>
  <si>
    <t>1.06 Applied Horticulture &amp; Horticultural Business Services</t>
  </si>
  <si>
    <t>1.08 Agricultural Public Services</t>
  </si>
  <si>
    <t>1.09 Animal Sciences</t>
  </si>
  <si>
    <t>1.10 Food Science &amp; Technology</t>
  </si>
  <si>
    <t>1.11 Plant Sciences</t>
  </si>
  <si>
    <t>1.12 Soil Sciences</t>
  </si>
  <si>
    <t>1.13 Agriculture/Veterinary Preparatory Programs</t>
  </si>
  <si>
    <t>1.81 Veterinary Biomedical &amp; Clinical Sciences</t>
  </si>
  <si>
    <t>1.83 Veterinary/Animal Health Technologies/Technicians</t>
  </si>
  <si>
    <t>1.99 Agriculture, Agriculture Operations, &amp; Related Sciences, Other</t>
  </si>
  <si>
    <t>Natural Resources</t>
  </si>
  <si>
    <t>3 *Natural Resources &amp; Conservation</t>
  </si>
  <si>
    <t>3 Natural Resources</t>
  </si>
  <si>
    <t>3.01 Natural Resources Conservation &amp; Research</t>
  </si>
  <si>
    <t>3.02 Natural Resources Management &amp; Policy</t>
  </si>
  <si>
    <t>3.03 Fishing &amp; Fisheries Sciences &amp; Management</t>
  </si>
  <si>
    <t>3.05 Forestry</t>
  </si>
  <si>
    <t>3.06 Wildlife &amp; Wildlands Science &amp; Management</t>
  </si>
  <si>
    <t>Architecture</t>
  </si>
  <si>
    <t>4 *Architecture &amp; Related Services</t>
  </si>
  <si>
    <t>4 Architecture</t>
  </si>
  <si>
    <t>4.02 Architecture</t>
  </si>
  <si>
    <t>4.03 City/Urban, Community &amp; Regional Planning</t>
  </si>
  <si>
    <t>4.04 Environmental Design</t>
  </si>
  <si>
    <t>4.05 Interior Architecture</t>
  </si>
  <si>
    <t>4.06 Landscape Architecture</t>
  </si>
  <si>
    <t>4.09 Architectural Sciences &amp; Technology</t>
  </si>
  <si>
    <t>4.99 Architecture &amp; Related Services, Other</t>
  </si>
  <si>
    <t>Area Studies</t>
  </si>
  <si>
    <t>5 *Area, Ethnic, Cultural, &amp; Gender Studies</t>
  </si>
  <si>
    <t>5 Area Studies</t>
  </si>
  <si>
    <t>5.01 Area Studies</t>
  </si>
  <si>
    <t>5.02 Ethnic, Cultural Minority, Gender, &amp; Group Studies</t>
  </si>
  <si>
    <t>Communications</t>
  </si>
  <si>
    <t>9 *Communications, Journalism, &amp; Related Programs</t>
  </si>
  <si>
    <t>9 Communications</t>
  </si>
  <si>
    <t>9.01 Communication &amp; Media Studies</t>
  </si>
  <si>
    <t>9.04 Journalism</t>
  </si>
  <si>
    <t>9.07 Radio, Television, &amp; Digital Communication</t>
  </si>
  <si>
    <t>9.09 Public Relations, Advertising, &amp; Applied Communication</t>
  </si>
  <si>
    <t>Communications Technology</t>
  </si>
  <si>
    <t>10 *Communications Technologies/Technicians &amp; Support Services</t>
  </si>
  <si>
    <t>10 Communications Technology</t>
  </si>
  <si>
    <t>10.02 Audiovisual Communications Technologies/Technicians</t>
  </si>
  <si>
    <t>10.03 Graphic Communications</t>
  </si>
  <si>
    <t>Computer and Information Science</t>
  </si>
  <si>
    <t>11 *Computer &amp; Information Sciences</t>
  </si>
  <si>
    <t>11 Computer &amp; Info Science</t>
  </si>
  <si>
    <t>11.01 Computer &amp; Information Sciences, General</t>
  </si>
  <si>
    <t>11.02 Computer Programming</t>
  </si>
  <si>
    <t>11.04 Information Science/Studies</t>
  </si>
  <si>
    <t>11.05 Computer Systems Analysis</t>
  </si>
  <si>
    <t>11.07 Computer Science</t>
  </si>
  <si>
    <t>11.08 Computer Software &amp; Media Applications</t>
  </si>
  <si>
    <t>11.09 Computer Systems Networking &amp; Telecommunications</t>
  </si>
  <si>
    <t>11.10 Computer/Information Technology Administration &amp; Management</t>
  </si>
  <si>
    <t>11.99 Computer &amp; Information Sciences &amp; Support Services, Other</t>
  </si>
  <si>
    <t>Education</t>
  </si>
  <si>
    <t>13 *Education</t>
  </si>
  <si>
    <t>13 Education</t>
  </si>
  <si>
    <t>13.01 Education, General</t>
  </si>
  <si>
    <t>13.02 Bilingual, Multilingual, &amp; Multicultural Education</t>
  </si>
  <si>
    <t>13.04 Educational Administration &amp; Supervision</t>
  </si>
  <si>
    <t>13.10 Special Education &amp; Teaching</t>
  </si>
  <si>
    <t>13.12 Teacher Education &amp; Professional Development, Specific Levels &amp; Methods</t>
  </si>
  <si>
    <t>13.13 Teacher Education &amp; Professional Development, Specific Subject Areas</t>
  </si>
  <si>
    <t>13.14 Teaching English or French as a Second or Foreign Language</t>
  </si>
  <si>
    <t>Engineering</t>
  </si>
  <si>
    <t>14 *Engineering</t>
  </si>
  <si>
    <t>14 Engineering</t>
  </si>
  <si>
    <t>14.01 Engineering, General</t>
  </si>
  <si>
    <t>14.02 Aerospace, Aeronautical &amp; Astronautical Engineering</t>
  </si>
  <si>
    <t>14.03 Agricultural Engineering</t>
  </si>
  <si>
    <t>14.04 Architectural Engineering</t>
  </si>
  <si>
    <t>14.05 Biomedical/Medical Engineering</t>
  </si>
  <si>
    <t>14.07 Chemical Engineering</t>
  </si>
  <si>
    <t>14.08 Civil Engineering</t>
  </si>
  <si>
    <t>14.09 Computer Engineering</t>
  </si>
  <si>
    <t>14.10 Electrical, Electronics &amp; Communications Engineering</t>
  </si>
  <si>
    <t>14.12 Engineering Physics</t>
  </si>
  <si>
    <t>14.13 Engineering Science</t>
  </si>
  <si>
    <t>14.14 Environmental/Environmental Health Engineering</t>
  </si>
  <si>
    <t>14.18 Materials Engineering</t>
  </si>
  <si>
    <t>14.19 Mechanical Engineering</t>
  </si>
  <si>
    <t>14.20 Metallurgical Engineering</t>
  </si>
  <si>
    <t>14.21 Mining &amp; Mineral Engineering</t>
  </si>
  <si>
    <t>14.23 Nuclear Engineering</t>
  </si>
  <si>
    <t>14.25 Petroleum Engineering</t>
  </si>
  <si>
    <t>14.27 Systems Engineering</t>
  </si>
  <si>
    <t>14.32 Polymer/Plastics Engineering</t>
  </si>
  <si>
    <t>14.33 Construction Engineering</t>
  </si>
  <si>
    <t>14.35 Industrial Engineering</t>
  </si>
  <si>
    <t>14.36 Manufacturing Engineering</t>
  </si>
  <si>
    <t>14.37 Operations Research</t>
  </si>
  <si>
    <t>14.39 Geological/Geophysical Engineering</t>
  </si>
  <si>
    <t>14.42 Mechatronics, Robotics, &amp; Automation Engineering</t>
  </si>
  <si>
    <t>14.45 Biological/Biosystems Engineering</t>
  </si>
  <si>
    <t>14.47 Electrical &amp; Computer Engineering</t>
  </si>
  <si>
    <t>14.99 Engineering, Other</t>
  </si>
  <si>
    <t>Engineering Technology</t>
  </si>
  <si>
    <t>15 *Engineering Technologies &amp; Engineering-related Fields</t>
  </si>
  <si>
    <t>15 Engineering Technology</t>
  </si>
  <si>
    <t>15.00 Engineering Technology, General</t>
  </si>
  <si>
    <t>15.02 Civil Engineering Technologies/Technicians</t>
  </si>
  <si>
    <t>15.03 Electrical Engineering Technologies/Technicians</t>
  </si>
  <si>
    <t>15.04 Electromechanical Instrumentation &amp; Maintenance Technologies/Technicians</t>
  </si>
  <si>
    <t>15.05 Environmental Control Technologies/Technicians</t>
  </si>
  <si>
    <t>15.06 Industrial Production Technologies/Technicians</t>
  </si>
  <si>
    <t>15.07 Quality Control &amp; Safety Technologies/Technicians</t>
  </si>
  <si>
    <t>15.08 Mechanical Engineering Related Technologies/Technicians</t>
  </si>
  <si>
    <t>15.10 Construction Engineering Technologies</t>
  </si>
  <si>
    <t>15.11 Engineering-Related Technologies</t>
  </si>
  <si>
    <t>15.12 Computer Engineering Technologies/Technicians</t>
  </si>
  <si>
    <t>15.15 Engineering-Related Fields</t>
  </si>
  <si>
    <t>Languages</t>
  </si>
  <si>
    <t>16 *Foreign Languages, Literatures &amp; Linguistics</t>
  </si>
  <si>
    <t>16 Languages</t>
  </si>
  <si>
    <t>16.01 Linguistic, Comparative, &amp; Related Language Studies &amp; Services</t>
  </si>
  <si>
    <t>16.03 East Asian Languages, Literatures, &amp; Linguistics</t>
  </si>
  <si>
    <t>16.04 Slavic, Baltic &amp; Albanian Languages, Literatures, &amp; Linguistics</t>
  </si>
  <si>
    <t>16.05 Germanic Languages, Literatures, &amp; Linguistics</t>
  </si>
  <si>
    <t>16.09 Romance Languages, Literatures, &amp; Linguistics</t>
  </si>
  <si>
    <t>16.11 Middle/Near Eastern &amp; Semitic Languages, Literatures, &amp; Linguistics</t>
  </si>
  <si>
    <t>16.12 Classics &amp; Classical Languages, Literatures, &amp; Linguistics</t>
  </si>
  <si>
    <t>16.16 American Sign Language</t>
  </si>
  <si>
    <t>Family &amp; Consumer Science</t>
  </si>
  <si>
    <t>19 *Family &amp; Consumer Sciences/Human Sciences</t>
  </si>
  <si>
    <t>19 Family &amp; Consumer Science</t>
  </si>
  <si>
    <t>19.01 Family &amp; Consumer Sciences/Human Sciences, General</t>
  </si>
  <si>
    <t>19.02 Family &amp; Consumer Sciences/Human Sciences Business Services</t>
  </si>
  <si>
    <t>19.04 Family &amp; Consumer Economics &amp; Related Studies</t>
  </si>
  <si>
    <t>19.05 Foods, Nutrition, &amp; Related Services</t>
  </si>
  <si>
    <t>19.06 Housing &amp; Human Environments</t>
  </si>
  <si>
    <t>19.07 Human Development, Family Studies, &amp; Related Services</t>
  </si>
  <si>
    <t>19.09 Apparel &amp; Textiles</t>
  </si>
  <si>
    <t>Legal Studies</t>
  </si>
  <si>
    <t>22 *Legal Professions &amp; Studies</t>
  </si>
  <si>
    <t>22 Legal Studies</t>
  </si>
  <si>
    <t>22.00 Non-Professional General Legal Studies (Undergraduate)</t>
  </si>
  <si>
    <t>22.01 Law</t>
  </si>
  <si>
    <t>22.03 Legal Support Services</t>
  </si>
  <si>
    <t>English</t>
  </si>
  <si>
    <t>23 *English Language &amp; Literature/Letters</t>
  </si>
  <si>
    <t>23 English</t>
  </si>
  <si>
    <t>23.01 English Language &amp; Literature, General</t>
  </si>
  <si>
    <t>23.13 Rhetoric &amp; Composition/Writing Studies</t>
  </si>
  <si>
    <t>23.14 Literature</t>
  </si>
  <si>
    <t>General Studies</t>
  </si>
  <si>
    <t>24 *Liberal Arts &amp; Sciences, General Studies &amp; Humanities</t>
  </si>
  <si>
    <t>24 General Studies</t>
  </si>
  <si>
    <t>24.01 Liberal Arts &amp; Sciences, General Studies &amp; Humanities</t>
  </si>
  <si>
    <t>Library Science</t>
  </si>
  <si>
    <t>25 *Library Science &amp; Administration</t>
  </si>
  <si>
    <t>25 Library Science</t>
  </si>
  <si>
    <t>Biology</t>
  </si>
  <si>
    <t>26 *Biological &amp; Biomedical Sciences</t>
  </si>
  <si>
    <t>26 Biology</t>
  </si>
  <si>
    <t>26.01 Biology, General</t>
  </si>
  <si>
    <t>26.02 Biochemistry, Biophysics &amp; Molecular Biology</t>
  </si>
  <si>
    <t>26.03 Botany/Plant Biology</t>
  </si>
  <si>
    <t>26.04 Cell/Cellular Biology &amp; Anatomical Sciences</t>
  </si>
  <si>
    <t>26.05 Microbiological Sciences &amp; Immunology</t>
  </si>
  <si>
    <t>26.07 Zoology/Animal Biology</t>
  </si>
  <si>
    <t>26.08 Genetics</t>
  </si>
  <si>
    <t>26.09 Physiology, Pathology &amp; Related Sciences</t>
  </si>
  <si>
    <t>26.10 Pharmacology &amp; Toxicology</t>
  </si>
  <si>
    <t>26.11 Biomathematics, Bioinformatics, &amp; Computational Biology</t>
  </si>
  <si>
    <t>26.12 Biotechnology</t>
  </si>
  <si>
    <t>26.13 Ecology, Evolution, Systematics, &amp; Population Biology</t>
  </si>
  <si>
    <t>26.15 Neurobiology &amp; Neurosciences</t>
  </si>
  <si>
    <t>26.99 Biological &amp; Biomedical Sciences, Other</t>
  </si>
  <si>
    <t>Mathematics</t>
  </si>
  <si>
    <t>27 *Mathematics &amp; Statistics</t>
  </si>
  <si>
    <t>27 Mathematics</t>
  </si>
  <si>
    <t>27.01 Mathematics</t>
  </si>
  <si>
    <t>27.03 Applied Mathematics</t>
  </si>
  <si>
    <t>27.05 Statistics</t>
  </si>
  <si>
    <t>Military Science</t>
  </si>
  <si>
    <t>28 *Military Science, Leadership, &amp; Operational Art</t>
  </si>
  <si>
    <t>28 Military Science</t>
  </si>
  <si>
    <t>Military Technologies</t>
  </si>
  <si>
    <t>29 *Military Technologies &amp; Applied Science</t>
  </si>
  <si>
    <t>29 Military Technology</t>
  </si>
  <si>
    <t>29.02 Intelligence, Command Control &amp; Information Operations</t>
  </si>
  <si>
    <t>Multi-Discipline</t>
  </si>
  <si>
    <t>30 *Multi/Interdisciplinary Studies</t>
  </si>
  <si>
    <t>30 Multi-Discipline</t>
  </si>
  <si>
    <t>30.00 Multi-/Interdisciplinary Studies, General</t>
  </si>
  <si>
    <t>30.01 Biological &amp; Physical Sciences</t>
  </si>
  <si>
    <t>30.05 Peace Studies &amp; Conflict Resolution</t>
  </si>
  <si>
    <t>30.06 Systems Science &amp; Theory</t>
  </si>
  <si>
    <t>30.08 Mathematics &amp; Computer Science</t>
  </si>
  <si>
    <t>30.10 Biopsychology</t>
  </si>
  <si>
    <t>30.11 Gerontology</t>
  </si>
  <si>
    <t>30.15 Science, Technology &amp; Society</t>
  </si>
  <si>
    <t>30.17 Behavioral Sciences</t>
  </si>
  <si>
    <t>30.18 Natural Sciences</t>
  </si>
  <si>
    <t>30.19 Nutrition Sciences</t>
  </si>
  <si>
    <t>30.20 International/Global Studies</t>
  </si>
  <si>
    <t>30.22 Classical &amp; Ancient Studies</t>
  </si>
  <si>
    <t>30.23 Intercultural/Multicultural &amp; Diversity Studies</t>
  </si>
  <si>
    <t>30.25 Cognitive Science</t>
  </si>
  <si>
    <t>30.27 Human Biology</t>
  </si>
  <si>
    <t>30.30 Computational Science</t>
  </si>
  <si>
    <t>30.31 Human Computer Interaction</t>
  </si>
  <si>
    <t>30.33 Sustainability Studies</t>
  </si>
  <si>
    <t>30.38 Earth Systems Science</t>
  </si>
  <si>
    <t>30.49 Mathematical Economics</t>
  </si>
  <si>
    <t>30.51 Philosophy, Politics, &amp; Economics</t>
  </si>
  <si>
    <t>30.70 Data Science</t>
  </si>
  <si>
    <t>30.71 Data Analytics</t>
  </si>
  <si>
    <t>30.99 Multi/Interdisciplinary Studies, Other</t>
  </si>
  <si>
    <t>Parks &amp; Recreation</t>
  </si>
  <si>
    <t>31 *Parks, Recreation, Leisure, &amp; Fitness Studies</t>
  </si>
  <si>
    <t>31 Parks &amp; Recreation</t>
  </si>
  <si>
    <t>31.01 Parks, Recreation &amp; Leisure Studies</t>
  </si>
  <si>
    <t>31.03 Parks, Recreation &amp; Leisure Facilities Management</t>
  </si>
  <si>
    <t>31.05 Health &amp; Physical Education/Fitness</t>
  </si>
  <si>
    <t>Leisure &amp; Recreation</t>
  </si>
  <si>
    <t>36 *Leisure &amp; Recreational Activities</t>
  </si>
  <si>
    <t>36 Leisure &amp; Recreation</t>
  </si>
  <si>
    <t>Philosophy</t>
  </si>
  <si>
    <t>38 *Philosophy &amp; Religious Studies</t>
  </si>
  <si>
    <t>38 Philosophy</t>
  </si>
  <si>
    <t>38.00 Philosophy &amp; Religious Studies, General</t>
  </si>
  <si>
    <t>38.01 Philosophy</t>
  </si>
  <si>
    <t>38.02 Religion/Religious Studies</t>
  </si>
  <si>
    <t>Theology</t>
  </si>
  <si>
    <t>39 *Theology &amp; Religious Vocations</t>
  </si>
  <si>
    <t>39 Theology</t>
  </si>
  <si>
    <t>39.02 Bible/Biblical Studies</t>
  </si>
  <si>
    <t>39.06 Theological &amp; Ministerial Studies</t>
  </si>
  <si>
    <t>39.07 Pastoral Counseling &amp; Specialized Ministries</t>
  </si>
  <si>
    <t>39.99 Theology &amp; Religious Vocations, Other</t>
  </si>
  <si>
    <t>Physical Sciences</t>
  </si>
  <si>
    <t>40 *Physical Sciences</t>
  </si>
  <si>
    <t>40 Physical Science</t>
  </si>
  <si>
    <t>40.01 Physical Sciences</t>
  </si>
  <si>
    <t>40.02 Astronomy &amp; Astrophysics</t>
  </si>
  <si>
    <t>40.04 Atmospheric Sciences &amp; Meteorology</t>
  </si>
  <si>
    <t>40.05 Chemistry</t>
  </si>
  <si>
    <t>40.06 Geological &amp; Earth Sciences/Geosciences</t>
  </si>
  <si>
    <t>40.08 Physics</t>
  </si>
  <si>
    <t>40.10 Materials Sciences</t>
  </si>
  <si>
    <t>Science Technologies</t>
  </si>
  <si>
    <t>41 *Science Technologies/Technicians</t>
  </si>
  <si>
    <t>41 Science Technologies</t>
  </si>
  <si>
    <t>Psychology</t>
  </si>
  <si>
    <t>42 *Psychology</t>
  </si>
  <si>
    <t>42 Psychology</t>
  </si>
  <si>
    <t>42.01 Psychology, General</t>
  </si>
  <si>
    <t>42.27 Research &amp; Experimental Psychology</t>
  </si>
  <si>
    <t>42.28 Clinical, Counseling &amp; Applied Psychology</t>
  </si>
  <si>
    <t>Security</t>
  </si>
  <si>
    <t>43 *Homeland Security, Law Enforcement, Firefighting, &amp; Related Protective Services</t>
  </si>
  <si>
    <t>43 Security</t>
  </si>
  <si>
    <t>43.01 Criminal Justice &amp; Corrections</t>
  </si>
  <si>
    <t>43.02 Fire Protection</t>
  </si>
  <si>
    <t>43.03 Homeland Security</t>
  </si>
  <si>
    <t>43.04 Security Science &amp; Technology</t>
  </si>
  <si>
    <t>43.99 Homeland Security, Law Enforcement, Firefighting &amp; Related Protective Services, Other</t>
  </si>
  <si>
    <t>Public Administration</t>
  </si>
  <si>
    <t>44 *Public Administration &amp; Social Services Professions</t>
  </si>
  <si>
    <t>44 Public Administration</t>
  </si>
  <si>
    <t>44.00 Human Services, General</t>
  </si>
  <si>
    <t>44.02 Community Organization &amp; Advocacy</t>
  </si>
  <si>
    <t>44.04 Public Administration</t>
  </si>
  <si>
    <t>44.05 Public Policy Analysis</t>
  </si>
  <si>
    <t>44.07 Social Work</t>
  </si>
  <si>
    <t>Social Science</t>
  </si>
  <si>
    <t>45 *Social Sciences</t>
  </si>
  <si>
    <t>45 Social Science</t>
  </si>
  <si>
    <t>45.01 Social Sciences, General</t>
  </si>
  <si>
    <t>45.02 Anthropology</t>
  </si>
  <si>
    <t>45.03 Archeology</t>
  </si>
  <si>
    <t>45.04 Criminology</t>
  </si>
  <si>
    <t>45.06 Economics</t>
  </si>
  <si>
    <t>45.07 Geography &amp; Cartography</t>
  </si>
  <si>
    <t>45.09 International Relations &amp; National Security Studies</t>
  </si>
  <si>
    <t>45.10 Political Science &amp; Government</t>
  </si>
  <si>
    <t>45.11 Sociology</t>
  </si>
  <si>
    <t>45.12 Urban Studies/Affairs</t>
  </si>
  <si>
    <t>45.13 Sociology &amp; Anthropology</t>
  </si>
  <si>
    <t>45.99 Social Sciences, Other</t>
  </si>
  <si>
    <t>Construction</t>
  </si>
  <si>
    <t>46 *Construction Trades</t>
  </si>
  <si>
    <t>46 Construction</t>
  </si>
  <si>
    <t>46.00 Construction Trades, General</t>
  </si>
  <si>
    <t>46.04 Building/Construction Finishing, Management, &amp; Inspection</t>
  </si>
  <si>
    <t>Maintenance &amp; Repair</t>
  </si>
  <si>
    <t>47 *Mechanic &amp; Repair Technologies/Technicians</t>
  </si>
  <si>
    <t>47 Maintenance &amp; Repair</t>
  </si>
  <si>
    <t>Precision Production</t>
  </si>
  <si>
    <t>48 *Precision Production</t>
  </si>
  <si>
    <t>48 Precision Production</t>
  </si>
  <si>
    <t>Transportation</t>
  </si>
  <si>
    <t>49 *Transportation &amp; Materials Moving</t>
  </si>
  <si>
    <t>49 Transportation</t>
  </si>
  <si>
    <t>49.01 Air Transportation</t>
  </si>
  <si>
    <t>Visual &amp; Performing Arts</t>
  </si>
  <si>
    <t>50 *Visual &amp; Performing Arts</t>
  </si>
  <si>
    <t>50 Visual Arts</t>
  </si>
  <si>
    <t>50.01 Visual &amp; Performing Arts, General</t>
  </si>
  <si>
    <t>50.02 Crafts/Craft Design, Folk Art &amp; Artisanry</t>
  </si>
  <si>
    <t>50.03 Dance</t>
  </si>
  <si>
    <t>50.04 Design &amp; Applied Arts</t>
  </si>
  <si>
    <t>50.05 Drama/Theatre Arts &amp; Stagecraft</t>
  </si>
  <si>
    <t>50.06 Film/Video &amp; Photographic Arts</t>
  </si>
  <si>
    <t>50.07 Fine &amp; Studio Arts</t>
  </si>
  <si>
    <t>50.09 Music</t>
  </si>
  <si>
    <t>50.10 Arts, Entertainment,and Media Management</t>
  </si>
  <si>
    <t>50.99 Visual &amp; Performing Arts, Other</t>
  </si>
  <si>
    <t>Health Professions</t>
  </si>
  <si>
    <t>51 *Health Professions &amp; Related Programs</t>
  </si>
  <si>
    <t>51 Health Professions</t>
  </si>
  <si>
    <t>51.00 Health Services/Allied Health/Health Sciences, General</t>
  </si>
  <si>
    <t>51.02 Communication Disorders Sciences &amp; Services</t>
  </si>
  <si>
    <t>51.06 Dental Support Services &amp; Allied Professions</t>
  </si>
  <si>
    <t>51.07 Health &amp; Medical Administrative Services</t>
  </si>
  <si>
    <t>51.08 Allied Health &amp; Medical Assisting Services</t>
  </si>
  <si>
    <t>51.09 Allied Health Diagnostic, Intervention, &amp; Treatment Professions</t>
  </si>
  <si>
    <t>51.10 Clinical/Medical Laboratory Science/Research &amp; Allied Professions</t>
  </si>
  <si>
    <t>51.11 Health/Medical Preparatory Programs</t>
  </si>
  <si>
    <t>51.14 Medical Clinical Sciences/Graduate Medical Studies</t>
  </si>
  <si>
    <t>51.15 Mental &amp; Social Health Services &amp; Allied Professions</t>
  </si>
  <si>
    <t>51.20 Pharmacy, Pharmaceutical Sciences, &amp; Administration</t>
  </si>
  <si>
    <t>51.22 Public Health</t>
  </si>
  <si>
    <t>51.23 Rehabilitation &amp; Therapeutic Professions</t>
  </si>
  <si>
    <t>51.27 Medical Illustration &amp; Informatics</t>
  </si>
  <si>
    <t>51.31 Dietetics &amp; Clinical Nutrition Services</t>
  </si>
  <si>
    <t>51.32 Bioethics/Medical Ethics</t>
  </si>
  <si>
    <t>51.38 Registered Nursing, Nursing Administration, Nursing Research &amp; Clinical Nursing</t>
  </si>
  <si>
    <t>51.99 Health Professions &amp; Related Clinical Sciences, Other</t>
  </si>
  <si>
    <t>Business</t>
  </si>
  <si>
    <t>52 *Business, Management, Marketing &amp; Related Support Services</t>
  </si>
  <si>
    <t>52 Business</t>
  </si>
  <si>
    <t>52.01 Business/Commerce, General</t>
  </si>
  <si>
    <t>52.02 Business Administration, Management &amp; Operations</t>
  </si>
  <si>
    <t>52.03 Accounting &amp; Related Services</t>
  </si>
  <si>
    <t>52.04 Business Operations Support &amp; Assistant Services</t>
  </si>
  <si>
    <t>52.05 Business/Corporate Communications</t>
  </si>
  <si>
    <t>52.06 Business/Managerial Economics</t>
  </si>
  <si>
    <t>52.07 Entrepreneurial &amp; Small Business Operations</t>
  </si>
  <si>
    <t>52.08 Finance &amp; Financial Management Services</t>
  </si>
  <si>
    <t>52.09 Hospitality Administration/Management</t>
  </si>
  <si>
    <t>52.10 Human Resources Management &amp; Services</t>
  </si>
  <si>
    <t>52.11 International Business</t>
  </si>
  <si>
    <t>52.12 Management Information Systems &amp; Services</t>
  </si>
  <si>
    <t>52.13 Management Sciences &amp; Quantitative Methods</t>
  </si>
  <si>
    <t>52.14 Marketing</t>
  </si>
  <si>
    <t>52.15 Real Estate</t>
  </si>
  <si>
    <t>52.17 Insurance</t>
  </si>
  <si>
    <t>52.18 General Sales, Merchandising &amp; Related Marketing Operations</t>
  </si>
  <si>
    <t>52.19 Specialized Sales, Merchandising &amp; Marketing Operations</t>
  </si>
  <si>
    <t>52.20 Construction Management</t>
  </si>
  <si>
    <t>History</t>
  </si>
  <si>
    <t>54 *History</t>
  </si>
  <si>
    <t>54 History</t>
  </si>
  <si>
    <t>4.10 Real Estate Development</t>
  </si>
  <si>
    <t>9.10 Publishing</t>
  </si>
  <si>
    <t>9.99 Communication, Journalism, &amp; Related Programs, Other</t>
  </si>
  <si>
    <t>13.03 Curriculum &amp; Instruction</t>
  </si>
  <si>
    <t>13.05 Educational/Instructional Media Design</t>
  </si>
  <si>
    <t>13.06 Educational Assessment, Evaluation, &amp; Research</t>
  </si>
  <si>
    <t>13.09 Social &amp; Philosophical Foundations of Education</t>
  </si>
  <si>
    <t>13.11 Student Counseling &amp; Personnel Services</t>
  </si>
  <si>
    <t>13.15 Teaching Assistants/Aides</t>
  </si>
  <si>
    <t>13.99 Education, Other</t>
  </si>
  <si>
    <t>22.00 Non-Professional General Legal Studies</t>
  </si>
  <si>
    <t>22.02 Legal Research &amp; Advanced Professional Studies</t>
  </si>
  <si>
    <t>22.99 Legal Professions &amp; Studies, Other</t>
  </si>
  <si>
    <t>25 * Library Science &amp; Administration</t>
  </si>
  <si>
    <t>27.06 Applied Statistics</t>
  </si>
  <si>
    <t>30.14 Museology/Museum Studies</t>
  </si>
  <si>
    <t>44.99 Public Administration &amp; Social Service Professions, Other</t>
  </si>
  <si>
    <t>51.05 Advanced/Graduate Dentistry &amp; Oral Sciences</t>
  </si>
  <si>
    <t>51.12 Medicine</t>
  </si>
  <si>
    <t>52.16 Taxation</t>
  </si>
  <si>
    <t>52.99 Business, Management, Marketing, &amp; Related Support Services, Other</t>
  </si>
  <si>
    <t>CIP Code Number</t>
  </si>
  <si>
    <t>New Major All</t>
  </si>
  <si>
    <t>New Discipline</t>
  </si>
  <si>
    <t>New Major Two Dec.</t>
  </si>
  <si>
    <t>New Major Abbr.</t>
  </si>
  <si>
    <t>New Titles</t>
  </si>
  <si>
    <t>01 AGRICULTURAL/ANIMAL/PLANT/VETERINARY SCIENCE AND RELATED FIELDS.</t>
  </si>
  <si>
    <t>01.00 Agriculture, General.</t>
  </si>
  <si>
    <t>01.01 Agricultural Business and Management.</t>
  </si>
  <si>
    <t>01.02 Agricultural Mechanization.</t>
  </si>
  <si>
    <t>01.03 Agricultural Production Operations.</t>
  </si>
  <si>
    <t>01.04 Agricultural and Food Products Processing.</t>
  </si>
  <si>
    <t>01.05 Agricultural and Domestic Animal Services.</t>
  </si>
  <si>
    <t>01.06 Applied Horticulture and Horticultural Business Services.</t>
  </si>
  <si>
    <t>01.07 International Agriculture.</t>
  </si>
  <si>
    <t>01.08 Agricultural Public Services.</t>
  </si>
  <si>
    <t>01.09 Animal Sciences.</t>
  </si>
  <si>
    <t>01.10 Food Science and Technology.</t>
  </si>
  <si>
    <t>01.11 Plant Sciences.</t>
  </si>
  <si>
    <t>01.12 Soil Sciences.</t>
  </si>
  <si>
    <t>01.13 Agriculture/Veterinary Preparatory Programs.</t>
  </si>
  <si>
    <t>01.80 Veterinary Medicine.</t>
  </si>
  <si>
    <t>01.81 Veterinary Biomedical and Clinical Sciences.</t>
  </si>
  <si>
    <t>01.82 Veterinary Administrative Services.</t>
  </si>
  <si>
    <t>01.83 Veterinary/Animal Health Technologies/Technicians.</t>
  </si>
  <si>
    <t>01.99 Agricultural/Animal/Plant/Veterinary Science and Related Fields, Other.</t>
  </si>
  <si>
    <t>03 NATURAL RESOURCES AND CONSERVATION.</t>
  </si>
  <si>
    <t>03.01 Natural Resources Conservation and Research.</t>
  </si>
  <si>
    <t>03.02 Environmental/Natural Resources Management and Policy.</t>
  </si>
  <si>
    <t>03.03 Fishing and Fisheries Sciences and Management.</t>
  </si>
  <si>
    <t>03.05 Forestry.</t>
  </si>
  <si>
    <t>03.06 Wildlife and Wildlands Science and Management.</t>
  </si>
  <si>
    <t>03.99 Natural Resources and Conservation, Other.</t>
  </si>
  <si>
    <t>04 ARCHITECTURE AND RELATED SERVICES.</t>
  </si>
  <si>
    <t>04.02 Architecture.</t>
  </si>
  <si>
    <t>04.03 City/Urban, Community, and Regional Planning.</t>
  </si>
  <si>
    <t>04.04 Environmental Design.</t>
  </si>
  <si>
    <t>04.05 Interior Architecture.</t>
  </si>
  <si>
    <t>04.06 Landscape Architecture.</t>
  </si>
  <si>
    <t>04.08 Architectural History, Criticism, and Conservation.</t>
  </si>
  <si>
    <t>04.09 Architectural Sciences and Technology.</t>
  </si>
  <si>
    <t>04.10 Real Estate Development.</t>
  </si>
  <si>
    <t>04.99 Architecture and Related Services, Other.</t>
  </si>
  <si>
    <t>05 AREA, ETHNIC, CULTURAL, GENDER, AND GROUP STUDIES.</t>
  </si>
  <si>
    <t>05.01 Area Studies.</t>
  </si>
  <si>
    <t>05.02 Ethnic, Cultural Minority, Gender, and Group Studies.</t>
  </si>
  <si>
    <t>05.99 Area, Ethnic, Cultural, Gender, and Group Studies, Other.</t>
  </si>
  <si>
    <t>09 COMMUNICATION, JOURNALISM, AND RELATED PROGRAMS.</t>
  </si>
  <si>
    <t>09.01 Communication and Media Studies.</t>
  </si>
  <si>
    <t>09.04 Journalism.</t>
  </si>
  <si>
    <t>09.07 Radio, Television, and Digital Communication.</t>
  </si>
  <si>
    <t>09.09 Public Relations, Advertising, and Applied Communication.</t>
  </si>
  <si>
    <t>09.10 Publishing.</t>
  </si>
  <si>
    <t>09.99 Communication, Journalism, and Related Programs, Other.</t>
  </si>
  <si>
    <t>10 COMMUNICATIONS TECHNOLOGIES/TECHNICIANS AND SUPPORT SERVICES.</t>
  </si>
  <si>
    <t>10.01 Communications Technologies/Technicians.</t>
  </si>
  <si>
    <t>10.02 Audiovisual Communications Technologies/Technicians.</t>
  </si>
  <si>
    <t>10.03 Graphic Communications.</t>
  </si>
  <si>
    <t>10.99 Communications Technologies/Technicians and Support Services, Other.</t>
  </si>
  <si>
    <t>11 COMPUTER AND INFORMATION SCIENCES AND SUPPORT SERVICES.</t>
  </si>
  <si>
    <t>11.01 Computer and Information Sciences, General.</t>
  </si>
  <si>
    <t>11.02 Computer Programming.</t>
  </si>
  <si>
    <t>11.03 Data Processing.</t>
  </si>
  <si>
    <t>11.04 Information Science/Studies.</t>
  </si>
  <si>
    <t>11.05 Computer Systems Analysis.</t>
  </si>
  <si>
    <t>11.06 Data Entry/Microcomputer Applications.</t>
  </si>
  <si>
    <t>11.07 Computer Science.</t>
  </si>
  <si>
    <t>11.08 Computer Software and Media Applications.</t>
  </si>
  <si>
    <t>11.09 Computer Systems Networking and Telecommunications.</t>
  </si>
  <si>
    <t>11.10 Computer/Information Technology Administration and Management.</t>
  </si>
  <si>
    <t>11.99 Computer and Information Sciences and Support Services, Other.</t>
  </si>
  <si>
    <t>Personal and Culinary Services</t>
  </si>
  <si>
    <t>12 CULINARY, ENTERTAINMENT, AND PERSONAL SERVICES.</t>
  </si>
  <si>
    <t>12.03 Funeral Service and Mortuary Science.</t>
  </si>
  <si>
    <t>12.04 Cosmetology and Related Personal Grooming Services.</t>
  </si>
  <si>
    <t>12.05 Culinary Arts and Related Services.</t>
  </si>
  <si>
    <t>12.06 Casino Operations and Services.</t>
  </si>
  <si>
    <t>12.99 Culinary, Entertainment, and Personal Services, Other.</t>
  </si>
  <si>
    <t>13 EDUCATION.</t>
  </si>
  <si>
    <t>13.01 Education, General.</t>
  </si>
  <si>
    <t>13.02 Bilingual, Multilingual, and Multicultural Education.</t>
  </si>
  <si>
    <t>13.03 Curriculum and Instruction.</t>
  </si>
  <si>
    <t>13.04 Educational Administration and Supervision.</t>
  </si>
  <si>
    <t>13.05 Educational/Instructional Media Design.</t>
  </si>
  <si>
    <t>13.06 Educational Assessment, Evaluation, and Research.</t>
  </si>
  <si>
    <t>13.07 International and Comparative Education.</t>
  </si>
  <si>
    <t>13.09 Social and Philosophical Foundations of Education.</t>
  </si>
  <si>
    <t>13.10 Special Education and Teaching.</t>
  </si>
  <si>
    <t>13.11 Student Counseling and Personnel Services.</t>
  </si>
  <si>
    <t>13.12 Teacher Education and Professional Development, Specific Levels and Methods.</t>
  </si>
  <si>
    <t>13.13 Teacher Education and Professional Development, Specific Subject Areas.</t>
  </si>
  <si>
    <t>13.14 Teaching English or French as a Second or Foreign Language.</t>
  </si>
  <si>
    <t>13.15 Teaching Assistants/Aides.</t>
  </si>
  <si>
    <t>13.99 Education, Other.</t>
  </si>
  <si>
    <t>14 ENGINEERING.</t>
  </si>
  <si>
    <t>14.01 Engineering, General.</t>
  </si>
  <si>
    <t>14.02 Aerospace, Aeronautical, and Astronautical/Space Engineering.</t>
  </si>
  <si>
    <t>14.03 Agricultural Engineering.</t>
  </si>
  <si>
    <t>14.04 Architectural Engineering.</t>
  </si>
  <si>
    <t>14.05 Biomedical/Medical Engineering.</t>
  </si>
  <si>
    <t>14.06 Ceramic Sciences and Engineering.</t>
  </si>
  <si>
    <t>14.07 Chemical Engineering.</t>
  </si>
  <si>
    <t>14.08 Civil Engineering.</t>
  </si>
  <si>
    <t>14.09 Computer Engineering.</t>
  </si>
  <si>
    <t>14.10 Electrical, Electronics, and Communications Engineering.</t>
  </si>
  <si>
    <t>14.11 Engineering Mechanics.</t>
  </si>
  <si>
    <t>14.12 Engineering Physics.</t>
  </si>
  <si>
    <t>14.13 Engineering Science.</t>
  </si>
  <si>
    <t>14.14 Environmental/Environmental Health Engineering.</t>
  </si>
  <si>
    <t>14.18 Materials Engineering.</t>
  </si>
  <si>
    <t>14.19 Mechanical Engineering.</t>
  </si>
  <si>
    <t>14.20 Metallurgical Engineering.</t>
  </si>
  <si>
    <t>14.21 Mining and Mineral Engineering.</t>
  </si>
  <si>
    <t>14.22 Naval Architecture and Marine Engineering.</t>
  </si>
  <si>
    <t>14.23 Nuclear Engineering.</t>
  </si>
  <si>
    <t>14.24 Ocean Engineering.</t>
  </si>
  <si>
    <t>14.25 Petroleum Engineering.</t>
  </si>
  <si>
    <t>14.27 Systems Engineering.</t>
  </si>
  <si>
    <t>14.28 Textile Sciences and Engineering.</t>
  </si>
  <si>
    <t>14.32 Polymer/Plastics Engineering.</t>
  </si>
  <si>
    <t>14.33 Construction Engineering.</t>
  </si>
  <si>
    <t>14.34 Forest Engineering.</t>
  </si>
  <si>
    <t>14.35 Industrial Engineering.</t>
  </si>
  <si>
    <t>14.36 Manufacturing Engineering.</t>
  </si>
  <si>
    <t>14.37 Operations Research.</t>
  </si>
  <si>
    <t>14.38 Surveying Engineering.</t>
  </si>
  <si>
    <t>14.39 Geological/Geophysical Engineering.</t>
  </si>
  <si>
    <t>14.40 Paper Science and Engineering.</t>
  </si>
  <si>
    <t>14.41 Electromechanical Engineering.</t>
  </si>
  <si>
    <t>14.42 Mechatronics, Robotics, and Automation Engineering.</t>
  </si>
  <si>
    <t>14.43 Biochemical Engineering.</t>
  </si>
  <si>
    <t>14.44 Engineering Chemistry.</t>
  </si>
  <si>
    <t>14.45 Biological/Biosystems Engineering.</t>
  </si>
  <si>
    <t>14.47 Electrical and Computer Engineering.</t>
  </si>
  <si>
    <t>14.48 Energy Systems Engineering.</t>
  </si>
  <si>
    <t>14.99 Engineering, Other.</t>
  </si>
  <si>
    <t>15.00 Engineering Technologies/Technicians, General.</t>
  </si>
  <si>
    <t>15 ENGINEERING/ENGINEERING-RELATED TECHNOLOGIES/TECHNICIANS.</t>
  </si>
  <si>
    <t>15.01 Architectural Engineering Technologies/Technicians.</t>
  </si>
  <si>
    <t>15.02 Civil Engineering Technologies/Technicians.</t>
  </si>
  <si>
    <t>15.03 Electrical/Electronic Engineering Technologies/Technicians.</t>
  </si>
  <si>
    <t>15.04 Electromechanical Technologies/Technicians.</t>
  </si>
  <si>
    <t>15.05 Environmental Control Technologies/Technicians.</t>
  </si>
  <si>
    <t>15.06 Industrial Production Technologies/Technicians.</t>
  </si>
  <si>
    <t>15.07 Quality Control and Safety Technologies/Technicians.</t>
  </si>
  <si>
    <t>15.08 Mechanical Engineering Related Technologies/Technicians.</t>
  </si>
  <si>
    <t>15.09 Mining and Petroleum Technologies/Technicians.</t>
  </si>
  <si>
    <t>15.10 Construction Engineering Technology/Technician.</t>
  </si>
  <si>
    <t>15.11 Engineering-Related Technologies/Technicians.</t>
  </si>
  <si>
    <t>15.12 Computer Engineering Technologies/Technicians.</t>
  </si>
  <si>
    <t>15.13 Drafting/Design Engineering Technologies/Technicians.</t>
  </si>
  <si>
    <t>15.14 Nuclear Engineering Technology/Technician.</t>
  </si>
  <si>
    <t>15.15 Engineering-Related Fields.</t>
  </si>
  <si>
    <t>15.16 Nanotechnology.</t>
  </si>
  <si>
    <t>15.17 Energy Systems Technologies/Technicians.</t>
  </si>
  <si>
    <t>15.99 Engineering/Engineering-Related Technologies/Technicians, Other.</t>
  </si>
  <si>
    <t>16 FOREIGN LANGUAGES, LITERATURES, AND LINGUISTICS.</t>
  </si>
  <si>
    <t>16.01 Linguistic, Comparative, and Related Language Studies and Services.</t>
  </si>
  <si>
    <t>16.02 African Languages, Literatures, and Linguistics.</t>
  </si>
  <si>
    <t>16.03 East Asian Languages, Literatures, and Linguistics.</t>
  </si>
  <si>
    <t>16.04 Slavic, Baltic and Albanian Languages, Literatures, and Linguistics.</t>
  </si>
  <si>
    <t>16.05 Germanic Languages, Literatures, and Linguistics.</t>
  </si>
  <si>
    <t>16.06 Modern Greek Language and Literature.</t>
  </si>
  <si>
    <t>16.07 South Asian Languages, Literatures, and Linguistics.</t>
  </si>
  <si>
    <t>16.08 Iranian/Persian Languages, Literatures, and Linguistics.</t>
  </si>
  <si>
    <t>16.09 Romance Languages, Literatures, and Linguistics.</t>
  </si>
  <si>
    <t>16.10 American Indian/Native American Languages, Literatures, and Linguistics.</t>
  </si>
  <si>
    <t>16.11 Middle/Near Eastern and Semitic Languages, Literatures, and Linguistics.</t>
  </si>
  <si>
    <t>16.12 Classics and Classical Languages, Literatures, and Linguistics.</t>
  </si>
  <si>
    <t>16.13 Celtic Languages, Literatures, and Linguistics.</t>
  </si>
  <si>
    <t>16.14 Southeast Asian and Australasian/Pacific Languages, Literatures, and Linguistics.</t>
  </si>
  <si>
    <t>16.15 Turkic, Uralic-Altaic, Caucasian, and Central Asian Languages, Literatures, and Linguistics.</t>
  </si>
  <si>
    <t>16.16 American Sign Language.</t>
  </si>
  <si>
    <t>16.17 Second Language Learning.</t>
  </si>
  <si>
    <t>16.18 Armenian Languages, Literatures, and Linguistics.</t>
  </si>
  <si>
    <t>16.99 Foreign Languages, Literatures, and Linguistics, Other.</t>
  </si>
  <si>
    <t>19 FAMILY AND CONSUMER SCIENCES/HUMAN SCIENCES.</t>
  </si>
  <si>
    <t>19.00 Work and Family Studies.</t>
  </si>
  <si>
    <t>19.01 Family and Consumer Sciences/Human Sciences, General.</t>
  </si>
  <si>
    <t>19.02 Family and Consumer Sciences/Human Sciences Business Services.</t>
  </si>
  <si>
    <t>19.04 Family and Consumer Economics and Related Studies.</t>
  </si>
  <si>
    <t>19.05 Foods, Nutrition, and Related Services.</t>
  </si>
  <si>
    <t>19.06 Housing and Human Environments.</t>
  </si>
  <si>
    <t>19.07 Human Development, Family Studies, and Related Services.</t>
  </si>
  <si>
    <t>19.09 Apparel and Textiles.</t>
  </si>
  <si>
    <t>19.10 Work and Family Studies.</t>
  </si>
  <si>
    <t>19.99 Family and Consumer Sciences/Human Sciences, Other.</t>
  </si>
  <si>
    <t>Reserved</t>
  </si>
  <si>
    <t>21 RESERVED.</t>
  </si>
  <si>
    <t>22 LEGAL PROFESSIONS AND STUDIES.</t>
  </si>
  <si>
    <t>22.00 Non-Professional Legal Studies.</t>
  </si>
  <si>
    <t>22.01 Law.</t>
  </si>
  <si>
    <t>22.02 Legal Research and Advanced Professional Studies.</t>
  </si>
  <si>
    <t>22.03 Legal Support Services.</t>
  </si>
  <si>
    <t>22.99 Legal Professions and Studies, Other.</t>
  </si>
  <si>
    <t>23 ENGLISH LANGUAGE AND LITERATURE/LETTERS.</t>
  </si>
  <si>
    <t>23.01 English Language and Literature, General.</t>
  </si>
  <si>
    <t>23.13 Rhetoric and Composition/Writing Studies.</t>
  </si>
  <si>
    <t>23.14 Literature.</t>
  </si>
  <si>
    <t>23.99 English Language and Literature/Letters, Other.</t>
  </si>
  <si>
    <t>24 LIBERAL ARTS AND SCIENCES, GENERAL STUDIES AND HUMANITIES.</t>
  </si>
  <si>
    <t>24.01 Liberal Arts and Sciences, General Studies and Humanities.</t>
  </si>
  <si>
    <t>25 LIBRARY SCIENCE.</t>
  </si>
  <si>
    <t>25.01 Library Science and Administration.</t>
  </si>
  <si>
    <t>25.03 Library and Archives Assisting.</t>
  </si>
  <si>
    <t>25.99 Library Science, Other.</t>
  </si>
  <si>
    <t>26 BIOLOGICAL AND BIOMEDICAL SCIENCES.</t>
  </si>
  <si>
    <t>26.01 Biology, General.</t>
  </si>
  <si>
    <t>26.02 Biochemistry, Biophysics and Molecular Biology.</t>
  </si>
  <si>
    <t>26.03 Botany/Plant Biology.</t>
  </si>
  <si>
    <t>26.04 Cell/Cellular Biology and Anatomical Sciences.</t>
  </si>
  <si>
    <t>26.05 Microbiological Sciences and Immunology.</t>
  </si>
  <si>
    <t>26.07 Zoology/Animal Biology.</t>
  </si>
  <si>
    <t>26.08 Genetics.</t>
  </si>
  <si>
    <t>26.09 Physiology, Pathology and Related Sciences.</t>
  </si>
  <si>
    <t>26.10 Pharmacology and Toxicology.</t>
  </si>
  <si>
    <t>26.11 Biomathematics, Bioinformatics, and Computational Biology.</t>
  </si>
  <si>
    <t>26.12 Biotechnology.</t>
  </si>
  <si>
    <t>26.13 Ecology, Evolution, Systematics, and Population Biology.</t>
  </si>
  <si>
    <t>26.14 Molecular Medicine.</t>
  </si>
  <si>
    <t>26.15 Neurobiology and Neurosciences.</t>
  </si>
  <si>
    <t>26.99 Biological and Biomedical Sciences, Other.</t>
  </si>
  <si>
    <t>27 MATHEMATICS AND STATISTICS.</t>
  </si>
  <si>
    <t>27.01 Mathematics.</t>
  </si>
  <si>
    <t>27.03 Applied Mathematics.</t>
  </si>
  <si>
    <t>27.05 Statistics.</t>
  </si>
  <si>
    <t>27.06 Applied Statistics.</t>
  </si>
  <si>
    <t>27.99 Mathematics and Statistics, Other.</t>
  </si>
  <si>
    <t>28 MILITARY SCIENCE, LEADERSHIP AND OPERATIONAL ART.</t>
  </si>
  <si>
    <t>28.01 Air Force ROTC, Air Science and Operations.</t>
  </si>
  <si>
    <t>28.03 Army ROTC, Military Science and Operations.</t>
  </si>
  <si>
    <t>28.04 Navy/Marine ROTC, Naval Science and Operations.</t>
  </si>
  <si>
    <t>28.05 Military Science and Operational Studies.</t>
  </si>
  <si>
    <t>28.06 Security Policy and Strategy.</t>
  </si>
  <si>
    <t>28.07 Military Economics and Management.</t>
  </si>
  <si>
    <t>28.08 Reserved.</t>
  </si>
  <si>
    <t>28.99 Military Science, Leadership and Operational Art, Other.</t>
  </si>
  <si>
    <t>29 MILITARY TECHNOLOGIES AND APPLIED SCIENCES.</t>
  </si>
  <si>
    <t>29.02 Intelligence, Command Control and Information Operations.</t>
  </si>
  <si>
    <t>29.03 Military Applied Sciences.</t>
  </si>
  <si>
    <t>29.04 Military Systems and Maintenance Technology.</t>
  </si>
  <si>
    <t>29.05 Reserved.</t>
  </si>
  <si>
    <t>29.06 Military Technology and Applied Sciences Management.</t>
  </si>
  <si>
    <t>29.99 Military Technologies and Applied Sciences, Other.</t>
  </si>
  <si>
    <t>30.00 Multi-/Interdisciplinary Studies, General.</t>
  </si>
  <si>
    <t>30 MULTI/INTERDISCIPLINARY STUDIES.</t>
  </si>
  <si>
    <t>30.01 Biological and Physical Sciences.</t>
  </si>
  <si>
    <t>30.05 Peace Studies and Conflict Resolution.</t>
  </si>
  <si>
    <t>30.06 Systems Science and Theory.</t>
  </si>
  <si>
    <t>30.08 Mathematics and Computer Science.</t>
  </si>
  <si>
    <t>30.10 Biopsychology.</t>
  </si>
  <si>
    <t>30.11 Gerontology.</t>
  </si>
  <si>
    <t>30.12 Historic Preservation and Conservation.</t>
  </si>
  <si>
    <t>30.13 Medieval and Renaissance Studies.</t>
  </si>
  <si>
    <t>30.14 Medieval and Renaissance Studies.</t>
  </si>
  <si>
    <t>30.15 Science, Technology and Society.</t>
  </si>
  <si>
    <t>30.16 Accounting and Computer Science.</t>
  </si>
  <si>
    <t>30.17 Behavioral Sciences.</t>
  </si>
  <si>
    <t>30.18 Natural Sciences.</t>
  </si>
  <si>
    <t>30.19 Nutrition Sciences.</t>
  </si>
  <si>
    <t>30.20 International/Globalization Studies.</t>
  </si>
  <si>
    <t>30.21 Holocaust and Related Studies.</t>
  </si>
  <si>
    <t>30.22 Classical and Ancient Studies.</t>
  </si>
  <si>
    <t>30.23 Intercultural/Multicultural and Diversity Studies.</t>
  </si>
  <si>
    <t>30.25 Cognitive Science.</t>
  </si>
  <si>
    <t>30.26 Cultural Studies/Critical Theory and Analysis.</t>
  </si>
  <si>
    <t>30.27 Human Biology.</t>
  </si>
  <si>
    <t>30.28 Dispute Resolution.</t>
  </si>
  <si>
    <t>30.29 Maritime Studies.</t>
  </si>
  <si>
    <t>30.3 Computational Science.</t>
  </si>
  <si>
    <t>30.31 Human Computer Interaction.</t>
  </si>
  <si>
    <t>30.32 Marine Sciences.</t>
  </si>
  <si>
    <t>30.33 Sustainability Studies.</t>
  </si>
  <si>
    <t>30.34 Anthrozoology.</t>
  </si>
  <si>
    <t>30.35 Climate Science.</t>
  </si>
  <si>
    <t>30.36 Cultural Studies and Comparative Literature.</t>
  </si>
  <si>
    <t>30.37 Design for Human Health.</t>
  </si>
  <si>
    <t>30.38 Earth Systems Science.</t>
  </si>
  <si>
    <t>30.39 Economics and Computer Science.</t>
  </si>
  <si>
    <t>30.40 Economics and Foreign Language/Literature.</t>
  </si>
  <si>
    <t>30.41 Environmental Geosciences.</t>
  </si>
  <si>
    <t>30.42 Geoarcheaology.</t>
  </si>
  <si>
    <t>30.43 Geobiology.</t>
  </si>
  <si>
    <t>30.44 Geography and Environmental Studies.</t>
  </si>
  <si>
    <t>30.45 History and Language/Literature.</t>
  </si>
  <si>
    <t>30.46 History and Political Science.</t>
  </si>
  <si>
    <t>30.47 Linguistics and Anthropology.</t>
  </si>
  <si>
    <t>30.48 Linguistics and Computer Science.</t>
  </si>
  <si>
    <t>30.49 Mathematical Economics.</t>
  </si>
  <si>
    <t>30.50 Mathematics and Atmospheric/Oceanic Science.</t>
  </si>
  <si>
    <t>30.51 Philosophy, Politics, and Economics.</t>
  </si>
  <si>
    <t>30.52 Digital Humanities and Textual Studies.</t>
  </si>
  <si>
    <t>30.53 Thanatology.</t>
  </si>
  <si>
    <t>30.70 Data Science.</t>
  </si>
  <si>
    <t>30.71 Data Analytics.</t>
  </si>
  <si>
    <t>30.99 Multi/Interdisciplinary Studies, Other.</t>
  </si>
  <si>
    <t>31 PARKS, RECREATION, LEISURE, FITNESS, AND KINESIOLOGY.</t>
  </si>
  <si>
    <t>31.01 Parks, Recreation, and Leisure Studies.</t>
  </si>
  <si>
    <t>31.03 Parks, Recreation, and Leisure Facilities Management.</t>
  </si>
  <si>
    <t>31.05 Sports, Kinesiology, and Physical Education/Fitness.</t>
  </si>
  <si>
    <t>31.06 Outdoor Education.</t>
  </si>
  <si>
    <t>31.99 Parks, Recreation, Leisure, Fitness, and Kinesiology, Other.</t>
  </si>
  <si>
    <t>Basic Skills and Remedial Ed</t>
  </si>
  <si>
    <t>32 BASIC SKILLS AND DEVELOPMENTAL/REMEDIAL EDUCATION.</t>
  </si>
  <si>
    <t>32.01 Basic Skills and Developmental/Remedial Education.</t>
  </si>
  <si>
    <t>32.02 General Exam Preparation and Test-Taking Skills.</t>
  </si>
  <si>
    <t>Citizenship Activities</t>
  </si>
  <si>
    <t>33 CITIZENSHIP ACTIVITIES.</t>
  </si>
  <si>
    <t>33.01 Citizenship Activities.</t>
  </si>
  <si>
    <t>Health Knowledge and Skills</t>
  </si>
  <si>
    <t>34 HEALTH-RELATED KNOWLEDGE AND SKILLS.</t>
  </si>
  <si>
    <t>34.01 Health-Related Knowledge and Skills.</t>
  </si>
  <si>
    <t>Interpersonal and Social Skills</t>
  </si>
  <si>
    <t>35 INTERPERSONAL AND SOCIAL SKILLS.</t>
  </si>
  <si>
    <t>35.01 Interpersonal and Social Skills.</t>
  </si>
  <si>
    <t>36 LEISURE AND RECREATIONAL ACTIVITIES.</t>
  </si>
  <si>
    <t>36.01 Leisure and Recreational Activities.</t>
  </si>
  <si>
    <t>36.02 Noncommercial Vehicle Operation.</t>
  </si>
  <si>
    <t>Personal Awareness and Improvement</t>
  </si>
  <si>
    <t>37 PERSONAL AWARENESS AND SELF-IMPROVEMENT.</t>
  </si>
  <si>
    <t>37.01 Personal Awareness and Self-Improvement.</t>
  </si>
  <si>
    <t>38.00 Philosophy and Religious Studies, General.</t>
  </si>
  <si>
    <t>38 PHILOSOPHY AND RELIGIOUS STUDIES.</t>
  </si>
  <si>
    <t>38.01 Philosophy.</t>
  </si>
  <si>
    <t>38.02 Religion/Religious Studies.</t>
  </si>
  <si>
    <t>38.99 Philosophy and Religious Studies, Other.</t>
  </si>
  <si>
    <t>39 THEOLOGY AND RELIGIOUS VOCATIONS.</t>
  </si>
  <si>
    <t>39.02 Bible/Biblical Studies.</t>
  </si>
  <si>
    <t>39.03 Missions/Missionary Studies and Missiology.</t>
  </si>
  <si>
    <t>39.04 Religious Education.</t>
  </si>
  <si>
    <t>39.05 Religious Music and Worship.</t>
  </si>
  <si>
    <t>39.06 Theological and Ministerial Studies.</t>
  </si>
  <si>
    <t>39.07 Pastoral Counseling and Specialized Ministries.</t>
  </si>
  <si>
    <t>39.08 Religious Institution Administration and Law.</t>
  </si>
  <si>
    <t>39.99 Theology and Religious Vocations, Other.</t>
  </si>
  <si>
    <t>40 PHYSICAL SCIENCES.</t>
  </si>
  <si>
    <t>40.01 Physical Sciences, General.</t>
  </si>
  <si>
    <t>40.02 Astronomy and Astrophysics.</t>
  </si>
  <si>
    <t>40.04 Atmospheric Sciences and Meteorology.</t>
  </si>
  <si>
    <t>40.05 Chemistry.</t>
  </si>
  <si>
    <t>40.06 Geological and Earth Sciences/Geosciences.</t>
  </si>
  <si>
    <t>40.08 Physics.</t>
  </si>
  <si>
    <t>40.10 Materials Sciences.</t>
  </si>
  <si>
    <t>40.11 Physics and Astronomy.</t>
  </si>
  <si>
    <t>40.99 Physical Sciences, Other.</t>
  </si>
  <si>
    <t>41.00 Science Technologies/Technicians, General.</t>
  </si>
  <si>
    <t>41 SCIENCE TECHNOLOGIES/TECHNICIANS.</t>
  </si>
  <si>
    <t>41.01 Biology/Biotechnology Technologies/Technicians.</t>
  </si>
  <si>
    <t>41.02 Nuclear and Industrial Radiologic Technologies/Technicians.</t>
  </si>
  <si>
    <t>41.03 Physical Science Technologies/Technicians.</t>
  </si>
  <si>
    <t>41.99 Science Technologies/Technicians, Other.</t>
  </si>
  <si>
    <t>42 PSYCHOLOGY.</t>
  </si>
  <si>
    <t>42.01 Psychology, General.</t>
  </si>
  <si>
    <t>42.27 Research and Experimental Psychology.</t>
  </si>
  <si>
    <t>42.28 Clinical, Counseling and Applied Psychology.</t>
  </si>
  <si>
    <t>42.99 Psychology, Other.</t>
  </si>
  <si>
    <t>Homeland Security</t>
  </si>
  <si>
    <t>43 HOMELAND SECURITY, LAW ENFORCEMENT, FIREFIGHTING AND RELATED PROTECTIVE SERVICES.</t>
  </si>
  <si>
    <t>43.01 Criminal Justice and Corrections.</t>
  </si>
  <si>
    <t>43.02 Fire Protection.</t>
  </si>
  <si>
    <t>43.03 Homeland Security.</t>
  </si>
  <si>
    <t>43.04 Security Science and Technology.</t>
  </si>
  <si>
    <t>43.99 Homeland Security, Law Enforcement, Firefighting and Related Protective Services, Other.</t>
  </si>
  <si>
    <t>44.00 Human Services, General.</t>
  </si>
  <si>
    <t>44 PUBLIC ADMINISTRATION AND SOCIAL SERVICE PROFESSIONS.</t>
  </si>
  <si>
    <t>44.02 Community Organization and Advocacy.</t>
  </si>
  <si>
    <t>44.04 Public Administration.</t>
  </si>
  <si>
    <t>44.05 Public Policy Analysis.</t>
  </si>
  <si>
    <t>44.07 Social Work.</t>
  </si>
  <si>
    <t>44.99 Public Administration and Social Service Professions, Other.</t>
  </si>
  <si>
    <t>Social Sciences</t>
  </si>
  <si>
    <t>45 SOCIAL SCIENCES.</t>
  </si>
  <si>
    <t>45.01 Social Sciences, General.</t>
  </si>
  <si>
    <t>45.02 Anthropology.</t>
  </si>
  <si>
    <t>45.03 Archeology.</t>
  </si>
  <si>
    <t>45.04 Criminology.</t>
  </si>
  <si>
    <t>45.05 Demography.</t>
  </si>
  <si>
    <t>45.06 Economics.</t>
  </si>
  <si>
    <t>45.07 Geography and Cartography.</t>
  </si>
  <si>
    <t>45.09 International Relations and National Security Studies.</t>
  </si>
  <si>
    <t>45.10 Political Science and Government.</t>
  </si>
  <si>
    <t>45.11 Sociology.</t>
  </si>
  <si>
    <t>45.12 Urban Studies/Affairs.</t>
  </si>
  <si>
    <t>45.13 Sociology and Anthropology.</t>
  </si>
  <si>
    <t>45.14 Rural Sociology.</t>
  </si>
  <si>
    <t>45.15 Geography and Anthropology.</t>
  </si>
  <si>
    <t>45.99 Social Sciences, Other.</t>
  </si>
  <si>
    <t>46.00 Construction Trades, General.</t>
  </si>
  <si>
    <t>46 CONSTRUCTION TRADES.</t>
  </si>
  <si>
    <t>46.01 Mason/Masonry.</t>
  </si>
  <si>
    <t>46.02 Carpenters.</t>
  </si>
  <si>
    <t>46.03 Electrical and Power Transmission Installers.</t>
  </si>
  <si>
    <t>46.04 Building/Construction Finishing, Management, and Inspection.</t>
  </si>
  <si>
    <t>46.05 Plumbing and Related Water Supply Services.</t>
  </si>
  <si>
    <t>46.99 Construction Trades, Other.</t>
  </si>
  <si>
    <t>47 MECHANIC AND REPAIR TECHNOLOGIES/TECHNICIANS.</t>
  </si>
  <si>
    <t>47.00 Mechanics and Repairers, General.</t>
  </si>
  <si>
    <t>47.01 Electrical/Electronics Maintenance and Repair Technologies/Technicians.</t>
  </si>
  <si>
    <t>47.02 Heating, Air Conditioning, Ventilation and Refrigeration Maintenance Technology/Technician (HAC, HACR, HVAC, HVACR).</t>
  </si>
  <si>
    <t>47.03 Heavy/Industrial Equipment Maintenance Technologies/Technicians.</t>
  </si>
  <si>
    <t>47.04 Precision Systems Maintenance and Repair Technologies/Technicians.</t>
  </si>
  <si>
    <t>47.06 Vehicle Maintenance and Repair Technologies/Technicians.</t>
  </si>
  <si>
    <t>47.07 Energy Systems Maintenance and Repair Technologies/Technicians.</t>
  </si>
  <si>
    <t>47.99 Mechanic and Repair Technologies/Technicians, Other.</t>
  </si>
  <si>
    <t>48.00 Precision Production Trades, General.</t>
  </si>
  <si>
    <t>48 PRECISION PRODUCTION.</t>
  </si>
  <si>
    <t>48.03 Leatherworking and Upholstery.</t>
  </si>
  <si>
    <t>48.05 Precision Metal Working.</t>
  </si>
  <si>
    <t>48.07 Woodworking.</t>
  </si>
  <si>
    <t>48.08 Boilermaking/Boilermaker.</t>
  </si>
  <si>
    <t>48.99 Precision Production, Other.</t>
  </si>
  <si>
    <t>49 TRANSPORTATION AND MATERIALS MOVING.</t>
  </si>
  <si>
    <t>49.01 Air Transportation.</t>
  </si>
  <si>
    <t>49.02 Ground Transportation.</t>
  </si>
  <si>
    <t>49.03 Marine Transportation.</t>
  </si>
  <si>
    <t>49.99 Transportation and Materials Moving, Other.</t>
  </si>
  <si>
    <t>50 VISUAL AND PERFORMING ARTS.</t>
  </si>
  <si>
    <t>50.01 Visual and Performing Arts, General.</t>
  </si>
  <si>
    <t>50.02 Crafts/Craft Design, Folk Art and Artisanry.</t>
  </si>
  <si>
    <t>50.03 Dance.</t>
  </si>
  <si>
    <t>50.04 Design and Applied Arts.</t>
  </si>
  <si>
    <t>50.05 Drama/Theatre Arts and Stagecraft.</t>
  </si>
  <si>
    <t>50.06 Film/Video and Photographic Arts.</t>
  </si>
  <si>
    <t>50.07 Fine and Studio Arts.</t>
  </si>
  <si>
    <t>50.09 Music.</t>
  </si>
  <si>
    <t>50.10 Arts, Entertainment, and Media Management.</t>
  </si>
  <si>
    <t>50.11 Community/Environmental/Socially-Engaged Art.</t>
  </si>
  <si>
    <t>50.99 Visual and Performing Arts, Other.</t>
  </si>
  <si>
    <t>51 HEALTH PROFESSIONS AND RELATED PROGRAMS.</t>
  </si>
  <si>
    <t>51.00 Health Services/Allied Health/Health Sciences, General.</t>
  </si>
  <si>
    <t>51.01 Chiropractic.</t>
  </si>
  <si>
    <t>51.02 Communication Disorders Sciences and Services.</t>
  </si>
  <si>
    <t>51.04 Dentistry.</t>
  </si>
  <si>
    <t>51.05 Advanced/Graduate Dentistry and Oral Sciences.</t>
  </si>
  <si>
    <t>51.06 Dental Support Services and Allied Professions.</t>
  </si>
  <si>
    <t>51.07 Health and Medical Administrative Services.</t>
  </si>
  <si>
    <t>51.08 Allied Health and Medical Assisting Services.</t>
  </si>
  <si>
    <t>51.09 Allied Health Diagnostic, Intervention, and Treatment Professions.</t>
  </si>
  <si>
    <t>51.10 Clinical/Medical Laboratory Science/Research and Allied Professions.</t>
  </si>
  <si>
    <t>51.11 Health/Medical Preparatory Programs.</t>
  </si>
  <si>
    <t>51.12 Medicine.</t>
  </si>
  <si>
    <t>51.14 Medical Clinical Sciences/Graduate Medical Studies.</t>
  </si>
  <si>
    <t>51.15 Mental and Social Health Services and Allied Professions.</t>
  </si>
  <si>
    <t>51.17 Optometry.</t>
  </si>
  <si>
    <t>51.18 Ophthalmic and Optometric Support Services and Allied Professions.</t>
  </si>
  <si>
    <t>51.19 Osteopathic Medicine/Osteopathy.</t>
  </si>
  <si>
    <t>51.2 Pharmacy, Pharmaceutical Sciences, and Administration.</t>
  </si>
  <si>
    <t>51.21 Podiatric Medicine/Podiatry.</t>
  </si>
  <si>
    <t>51.22 Public Health.</t>
  </si>
  <si>
    <t>51.23 Rehabilitation and Therapeutic Professions.</t>
  </si>
  <si>
    <t>51.24 Veterinary Medicine.</t>
  </si>
  <si>
    <t>51.25 Veterinary Biomedical and Clinical Sciences.</t>
  </si>
  <si>
    <t>51.26 Health Aides/Attendants/Orderlies.</t>
  </si>
  <si>
    <t>51.27 Medical Illustration and Informatics.</t>
  </si>
  <si>
    <t>51.31 Dietetics and Clinical Nutrition Services.</t>
  </si>
  <si>
    <t>51.32 Health Professions Education, Ethics, and Humanities.</t>
  </si>
  <si>
    <t>51.33 Alternative and Complementary Medicine and Medical Systems.</t>
  </si>
  <si>
    <t>51.34 Alternative and Complementary Medical Support Services.</t>
  </si>
  <si>
    <t>51.35 Somatic Bodywork and Related Therapeutic Services.</t>
  </si>
  <si>
    <t>51.36 Movement and Mind-Body Therapies and Education.</t>
  </si>
  <si>
    <t>51.37 Energy and Biologically Based Therapies.</t>
  </si>
  <si>
    <t>51.38 Registered Nursing, Nursing Administration, Nursing Research and Clinical Nursing.</t>
  </si>
  <si>
    <t>51.39 Practical Nursing, Vocational Nursing and Nursing Assistants.</t>
  </si>
  <si>
    <t>51.99 Health Professions and Related Clinical Sciences, Other.</t>
  </si>
  <si>
    <t>52 BUSINESS, MANAGEMENT, MARKETING, AND RELATED SUPPORT SERVICES.</t>
  </si>
  <si>
    <t>52.01 Business/Commerce, General.</t>
  </si>
  <si>
    <t>52.02 Business Administration, Management and Operations.</t>
  </si>
  <si>
    <t>52.03 Accounting and Related Services.</t>
  </si>
  <si>
    <t>52.04 Business Operations Support and Assistant Services.</t>
  </si>
  <si>
    <t>52.05 Business/Corporate Communications.</t>
  </si>
  <si>
    <t>52.06 Business/Managerial Economics.</t>
  </si>
  <si>
    <t>52.07 Entrepreneurial and Small Business Operations.</t>
  </si>
  <si>
    <t>52.08 Finance and Financial Management Services.</t>
  </si>
  <si>
    <t>52.09 Hospitality Administration/Management.</t>
  </si>
  <si>
    <t>52.10 Human Resources Management and Services.</t>
  </si>
  <si>
    <t>52.11 International Business.</t>
  </si>
  <si>
    <t>52.12 Management Information Systems and Services.</t>
  </si>
  <si>
    <t>52.13 Management Sciences and Quantitative Methods.</t>
  </si>
  <si>
    <t>52.14 Marketing.</t>
  </si>
  <si>
    <t>52.15 Real Estate.</t>
  </si>
  <si>
    <t>52.16 Taxation.</t>
  </si>
  <si>
    <t>52.17 Insurance.</t>
  </si>
  <si>
    <t>52.18 General Sales, Merchandising and Related Marketing Operations.</t>
  </si>
  <si>
    <t>52.19 Specialized Sales, Merchandising and  Marketing Operations.</t>
  </si>
  <si>
    <t>52.20 Construction Management.</t>
  </si>
  <si>
    <t>52.21 Telecommunications Management.</t>
  </si>
  <si>
    <t>52.99 Business, Management, Marketing, and Related Support Services, Other.</t>
  </si>
  <si>
    <t>High School Programs</t>
  </si>
  <si>
    <t>53 HIGH SCHOOL/SECONDARY DIPLOMAS AND CERTIFICATES.</t>
  </si>
  <si>
    <t>53.01 High School/Secondary Diploma Programs.</t>
  </si>
  <si>
    <t>53.02 High School/Secondary Certificate Programs.</t>
  </si>
  <si>
    <t>54 HISTORY.</t>
  </si>
  <si>
    <t>54.01 History.</t>
  </si>
  <si>
    <t>55 RESERVED.</t>
  </si>
  <si>
    <t>55.01 Reserved.</t>
  </si>
  <si>
    <t>55.13 Reserved.</t>
  </si>
  <si>
    <t>55.14 Reserved.</t>
  </si>
  <si>
    <t>55.99 Reserved.</t>
  </si>
  <si>
    <t>Health Fellowship/Residency</t>
  </si>
  <si>
    <t>60 HEALTH PROFESSIONS RESIDENCY/FELLOWSHIP PROGRAMS.</t>
  </si>
  <si>
    <t>60.01 Dental Residency/Fellowship Programs.</t>
  </si>
  <si>
    <t>60.03 Veterinary Residency/Fellowship Programs.</t>
  </si>
  <si>
    <t>60.04 Medical Residency Programs - General Certificates.</t>
  </si>
  <si>
    <t>60.05 Medical Residency Programs - Subspecialty Certificates.</t>
  </si>
  <si>
    <t>60.06 Podiatric Medicine Residency Programs.</t>
  </si>
  <si>
    <t>60.07 Nurse Practitioner Residency/Fellowship Programs.</t>
  </si>
  <si>
    <t>60.08 Pharmacy Residency/Fellowship Programs.</t>
  </si>
  <si>
    <t>60.09 Physician Assistant Residency/Fellowship Programs.</t>
  </si>
  <si>
    <t>60.99 Health Professions Residency/Fellowship Programs, Other.</t>
  </si>
  <si>
    <t>Medical Fellowship/Residency</t>
  </si>
  <si>
    <t>61 MEDICAL RESIDENCY/FELLOWSHIP PROGRAMS.</t>
  </si>
  <si>
    <t>61.01 Combined Medical Residency/Fellowship Programs.</t>
  </si>
  <si>
    <t>61.02 Multiple-Pathway Medical Fellowship Programs.</t>
  </si>
  <si>
    <t>61.03 Allergy and Immunology Residency/Fellowship Programs.</t>
  </si>
  <si>
    <t>61.04 Anesthesiology Residency/Fellowship Programs.</t>
  </si>
  <si>
    <t>61.05 Dermatology Residency/Fellowship Programs.</t>
  </si>
  <si>
    <t>61.06 Emergency Medicine Residency/Fellowship Programs.</t>
  </si>
  <si>
    <t>61.07 Family Medicine Residency/Fellowship Programs.</t>
  </si>
  <si>
    <t>61.08 Internal Medicine Residency/Fellowship Programs.</t>
  </si>
  <si>
    <t>61.09 Medical Genetics and Genomics Residency/Fellowship Programs.</t>
  </si>
  <si>
    <t>61.10 Neurological Surgery Residency/Fellowship Programs.</t>
  </si>
  <si>
    <t>61.11 Neurology Residency/Fellowship Programs.</t>
  </si>
  <si>
    <t>61.12 Nuclear Medicine Residency/Fellowship Programs.</t>
  </si>
  <si>
    <t>61.13 Obstetrics and Gynecology Residency/Fellowship Programs.</t>
  </si>
  <si>
    <t>61.14 Ophthalmology Residency/Fellowship Programs.</t>
  </si>
  <si>
    <t>61.15 Orthopedic Surgery Residency/Fellowship Programs.</t>
  </si>
  <si>
    <t>61.16 Osteopathic Medicine Residency/Fellowship Programs.</t>
  </si>
  <si>
    <t>61.17 Otolaryngology Residency/Fellowship Programs.</t>
  </si>
  <si>
    <t>61.18 Pathology Residency/Fellowship Programs.</t>
  </si>
  <si>
    <t>61.19 Pediatrics Residency/Fellowship Programs.</t>
  </si>
  <si>
    <t>61.20 Physical Medicine and Rehabilitation Residency/Fellowship Programs.</t>
  </si>
  <si>
    <t>61.21 Plastic Surgery Residency/Fellowship Programs.</t>
  </si>
  <si>
    <t>61.22 Podiatric Medicine Residency/Fellowship Programs.</t>
  </si>
  <si>
    <t>61.23 Preventive Medicine Residency/Fellowship Programs.</t>
  </si>
  <si>
    <t>61.24 Psychiatry Residency/Fellowship Programs.</t>
  </si>
  <si>
    <t>61.25 Radiation Oncology Residency/Fellowship Programs.</t>
  </si>
  <si>
    <t>61.26 Radiology Residency/Fellowship Programs.</t>
  </si>
  <si>
    <t>61.27 Surgery Residency/Fellowship Programs.</t>
  </si>
  <si>
    <t>61.28 Urology Residency/Fellowship Programs.</t>
  </si>
  <si>
    <t>61.99 Medical Residency/Fellowship Programs, Other.</t>
  </si>
  <si>
    <t>30.30 Computational Science.</t>
  </si>
  <si>
    <t>01</t>
  </si>
  <si>
    <t>01.00</t>
  </si>
  <si>
    <t>01.0000</t>
  </si>
  <si>
    <t>01.0000 Agriculture, General.</t>
  </si>
  <si>
    <t>01.01</t>
  </si>
  <si>
    <t>01.0101</t>
  </si>
  <si>
    <t>01.0101 Agricultural Business and Management, General.</t>
  </si>
  <si>
    <t>01.0102</t>
  </si>
  <si>
    <t>01.0102 Agribusiness/Agricultural Business Operations.</t>
  </si>
  <si>
    <t>01.0103</t>
  </si>
  <si>
    <t>01.0103 Agricultural Economics.</t>
  </si>
  <si>
    <t>01.0104</t>
  </si>
  <si>
    <t>01.0104 Farm/Farm and Ranch Management.</t>
  </si>
  <si>
    <t>01.0105</t>
  </si>
  <si>
    <t>01.0105 Agricultural/Farm Supplies Retailing and Wholesaling.</t>
  </si>
  <si>
    <t>01.0106</t>
  </si>
  <si>
    <t>01.0106 Agricultural Business Technology/Technician.</t>
  </si>
  <si>
    <t>01.0199</t>
  </si>
  <si>
    <t>01.0199 Agricultural Business and Management, Other.</t>
  </si>
  <si>
    <t>01.02</t>
  </si>
  <si>
    <t>01.0201</t>
  </si>
  <si>
    <t>01.0201 Agricultural Mechanization, General.</t>
  </si>
  <si>
    <t>01.0204</t>
  </si>
  <si>
    <t>01.0204 Agricultural Power Machinery Operation.</t>
  </si>
  <si>
    <t>01.0205</t>
  </si>
  <si>
    <t>01.0205 Agricultural Mechanics and Equipment/Machine Technology/Technician.</t>
  </si>
  <si>
    <t>01.0207</t>
  </si>
  <si>
    <t>01.0207 Irrigation Management Technology/Technician.</t>
  </si>
  <si>
    <t>01.0299</t>
  </si>
  <si>
    <t>01.0299 Agricultural Mechanization, Other.</t>
  </si>
  <si>
    <t>01.03</t>
  </si>
  <si>
    <t>01.0301</t>
  </si>
  <si>
    <t>01.0301 Agricultural Production Operations, General.</t>
  </si>
  <si>
    <t>01.0302</t>
  </si>
  <si>
    <t>01.0302 Animal/Livestock Husbandry and Production.</t>
  </si>
  <si>
    <t>01.0303</t>
  </si>
  <si>
    <t>01.0303 Aquaculture.</t>
  </si>
  <si>
    <t>01.0304</t>
  </si>
  <si>
    <t>01.0304 Crop Production.</t>
  </si>
  <si>
    <t>01.0306</t>
  </si>
  <si>
    <t>01.0306 Dairy Husbandry and Production.</t>
  </si>
  <si>
    <t>01.0307</t>
  </si>
  <si>
    <t>01.0307 Horse Husbandry/Equine Science and Management.</t>
  </si>
  <si>
    <t>01.0308</t>
  </si>
  <si>
    <t>01.0308 Agroecology and Sustainable Agriculture.</t>
  </si>
  <si>
    <t>01.0309</t>
  </si>
  <si>
    <t>01.0309 Viticulture and Enology.</t>
  </si>
  <si>
    <t>01.0310</t>
  </si>
  <si>
    <t>01.0310 Apiculture.</t>
  </si>
  <si>
    <t>01.0399</t>
  </si>
  <si>
    <t>01.0399 Agricultural Production Operations, Other.</t>
  </si>
  <si>
    <t>01.04</t>
  </si>
  <si>
    <t>01.0401</t>
  </si>
  <si>
    <t>01.0401 Agricultural and Food Products Processing.</t>
  </si>
  <si>
    <t>01.0480</t>
  </si>
  <si>
    <t>01.0480 Reserved.</t>
  </si>
  <si>
    <t>01.05</t>
  </si>
  <si>
    <t>01.0504</t>
  </si>
  <si>
    <t>01.0504 Dog/Pet/Animal Grooming.</t>
  </si>
  <si>
    <t>01.0505</t>
  </si>
  <si>
    <t>01.0505 Animal Training.</t>
  </si>
  <si>
    <t>01.0507</t>
  </si>
  <si>
    <t>01.0507 Equestrian/Equine Studies.</t>
  </si>
  <si>
    <t>01.0508</t>
  </si>
  <si>
    <t>01.0508 Taxidermy/Taxidermist.</t>
  </si>
  <si>
    <t>01.0509</t>
  </si>
  <si>
    <t>01.0509 Farrier Science.</t>
  </si>
  <si>
    <t>01.0599</t>
  </si>
  <si>
    <t>01.0599 Agricultural and Domestic Animal Services, Other.</t>
  </si>
  <si>
    <t>01.06</t>
  </si>
  <si>
    <t>01.0601</t>
  </si>
  <si>
    <t>01.0601 Applied Horticulture/Horticulture Operations, General.</t>
  </si>
  <si>
    <t>01.0603</t>
  </si>
  <si>
    <t>01.0603 Ornamental Horticulture.</t>
  </si>
  <si>
    <t>01.0604</t>
  </si>
  <si>
    <t>01.0604 Greenhouse Operations and Management.</t>
  </si>
  <si>
    <t>01.0605</t>
  </si>
  <si>
    <t>01.0605 Landscaping and Groundskeeping.</t>
  </si>
  <si>
    <t>01.0606</t>
  </si>
  <si>
    <t>01.0606 Plant Nursery Operations and Management.</t>
  </si>
  <si>
    <t>01.0607</t>
  </si>
  <si>
    <t>01.0607 Turf and Turfgrass Management.</t>
  </si>
  <si>
    <t>01.0608</t>
  </si>
  <si>
    <t>01.0608 Floriculture/Floristry Operations and Management.</t>
  </si>
  <si>
    <t>01.0609</t>
  </si>
  <si>
    <t>01.0609 Public Horticulture.</t>
  </si>
  <si>
    <t>01.0610</t>
  </si>
  <si>
    <t>01.0610 Urban and Community Horticulture.</t>
  </si>
  <si>
    <t>01.0680</t>
  </si>
  <si>
    <t>01.0680 Reserved.</t>
  </si>
  <si>
    <t>01.0699</t>
  </si>
  <si>
    <t>01.0699 Applied Horticulture/Horticultural Business Services, Other.</t>
  </si>
  <si>
    <t>01.07</t>
  </si>
  <si>
    <t>01.0701</t>
  </si>
  <si>
    <t>01.0701 International Agriculture.</t>
  </si>
  <si>
    <t>01.08</t>
  </si>
  <si>
    <t>01.0801</t>
  </si>
  <si>
    <t>01.0801 Agricultural and Extension Education Services.</t>
  </si>
  <si>
    <t>01.0802</t>
  </si>
  <si>
    <t>01.0802 Agricultural Communication/Journalism.</t>
  </si>
  <si>
    <t>01.0899</t>
  </si>
  <si>
    <t>01.0899 Agricultural Public Services, Other.</t>
  </si>
  <si>
    <t>01.09</t>
  </si>
  <si>
    <t>01.0901</t>
  </si>
  <si>
    <t>01.0901 Animal Sciences, General.</t>
  </si>
  <si>
    <t>01.0902</t>
  </si>
  <si>
    <t>01.0902 Agricultural Animal Breeding.</t>
  </si>
  <si>
    <t>01.0903</t>
  </si>
  <si>
    <t>01.0903 Animal Health.</t>
  </si>
  <si>
    <t>01.0904</t>
  </si>
  <si>
    <t>01.0904 Animal Nutrition.</t>
  </si>
  <si>
    <t>01.0905</t>
  </si>
  <si>
    <t>01.0905 Dairy Science.</t>
  </si>
  <si>
    <t>01.0906</t>
  </si>
  <si>
    <t>01.0906 Livestock Management.</t>
  </si>
  <si>
    <t>01.0907</t>
  </si>
  <si>
    <t>01.0907 Poultry Science.</t>
  </si>
  <si>
    <t>01.0999</t>
  </si>
  <si>
    <t>01.0999 Animal Sciences, Other.</t>
  </si>
  <si>
    <t>01.10</t>
  </si>
  <si>
    <t>01.1001</t>
  </si>
  <si>
    <t>01.1001 Food Science.</t>
  </si>
  <si>
    <t>01.1002</t>
  </si>
  <si>
    <t>01.1002 Food Technology and Processing.</t>
  </si>
  <si>
    <t>01.1003</t>
  </si>
  <si>
    <t>01.1003 Brewing Science.</t>
  </si>
  <si>
    <t>01.1004</t>
  </si>
  <si>
    <t>01.1004 Viticulture and Enology.</t>
  </si>
  <si>
    <t>01.1005</t>
  </si>
  <si>
    <t>01.1005 Zymology/Fermentation Science.</t>
  </si>
  <si>
    <t>01.1099</t>
  </si>
  <si>
    <t>01.1099 Food Science and Technology, Other.</t>
  </si>
  <si>
    <t>01.11</t>
  </si>
  <si>
    <t>01.1101</t>
  </si>
  <si>
    <t>01.1101 Plant Sciences, General.</t>
  </si>
  <si>
    <t>01.1102</t>
  </si>
  <si>
    <t>01.1102 Agronomy and Crop Science.</t>
  </si>
  <si>
    <t>01.1103</t>
  </si>
  <si>
    <t>01.1103 Horticultural Science.</t>
  </si>
  <si>
    <t>01.1104</t>
  </si>
  <si>
    <t>01.1104 Agricultural and Horticultural Plant Breeding.</t>
  </si>
  <si>
    <t>01.1105</t>
  </si>
  <si>
    <t>01.1105 Plant Protection and Integrated Pest Management.</t>
  </si>
  <si>
    <t>01.1106</t>
  </si>
  <si>
    <t>01.1106 Range Science and Management.</t>
  </si>
  <si>
    <t>01.1180</t>
  </si>
  <si>
    <t>01.1180 Reserved.</t>
  </si>
  <si>
    <t>01.1199</t>
  </si>
  <si>
    <t>01.1199 Plant Sciences, Other.</t>
  </si>
  <si>
    <t>01.12</t>
  </si>
  <si>
    <t>01.1201</t>
  </si>
  <si>
    <t>01.1201 Soil Science and Agronomy, General.</t>
  </si>
  <si>
    <t>01.1202</t>
  </si>
  <si>
    <t>01.1202 Soil Chemistry and Physics.</t>
  </si>
  <si>
    <t>01.1203</t>
  </si>
  <si>
    <t>01.1203 Soil Microbiology.</t>
  </si>
  <si>
    <t>01.1299</t>
  </si>
  <si>
    <t>01.1299 Soil Sciences, Other.</t>
  </si>
  <si>
    <t>01.13</t>
  </si>
  <si>
    <t>01.1302</t>
  </si>
  <si>
    <t>01.1302 Pre-Veterinary Studies.</t>
  </si>
  <si>
    <t>01.1399</t>
  </si>
  <si>
    <t>01.1399 Agriculture/Veterinary Preparatory Programs, Other.</t>
  </si>
  <si>
    <t>01.80</t>
  </si>
  <si>
    <t>01.8001</t>
  </si>
  <si>
    <t>01.8001 Veterinary Medicine.</t>
  </si>
  <si>
    <t>01.81</t>
  </si>
  <si>
    <t>01.8101</t>
  </si>
  <si>
    <t>01.8101 Veterinary Sciences/Veterinary Clinical Sciences, General.</t>
  </si>
  <si>
    <t>01.8102</t>
  </si>
  <si>
    <t>01.8102 Comparative and Laboratory Animal Medicine.</t>
  </si>
  <si>
    <t>01.8103</t>
  </si>
  <si>
    <t>01.8103 Large Animal/Food Animal and Equine Surgery and Medicine.</t>
  </si>
  <si>
    <t>01.8104</t>
  </si>
  <si>
    <t>01.8104 Small/Companion Animal Surgery and Medicine.</t>
  </si>
  <si>
    <t>01.8105</t>
  </si>
  <si>
    <t>01.8105 Veterinary Anatomy.</t>
  </si>
  <si>
    <t>01.8106</t>
  </si>
  <si>
    <t>01.8106 Veterinary Infectious Diseases.</t>
  </si>
  <si>
    <t>01.8107</t>
  </si>
  <si>
    <t>01.8107 Veterinary Microbiology and Immunobiology.</t>
  </si>
  <si>
    <t>01.8108</t>
  </si>
  <si>
    <t>01.8108 Veterinary Pathology and Pathobiology.</t>
  </si>
  <si>
    <t>01.8109</t>
  </si>
  <si>
    <t>01.8109 Veterinary Physiology.</t>
  </si>
  <si>
    <t>01.8110</t>
  </si>
  <si>
    <t>01.8110 Veterinary Preventive Medicine, Epidemiology, and Public Health.</t>
  </si>
  <si>
    <t>01.8111</t>
  </si>
  <si>
    <t>01.8111 Veterinary Toxicology and Pharmacology.</t>
  </si>
  <si>
    <t>01.8199</t>
  </si>
  <si>
    <t>01.8199 Veterinary Biomedical and Clinical Sciences, Other.</t>
  </si>
  <si>
    <t>01.82</t>
  </si>
  <si>
    <t>01.8201</t>
  </si>
  <si>
    <t>01.8201 Veterinary Administrative Services, General.</t>
  </si>
  <si>
    <t>01.8202</t>
  </si>
  <si>
    <t>01.8202 Veterinary Office Management/Administration.</t>
  </si>
  <si>
    <t>01.8203</t>
  </si>
  <si>
    <t>01.8203 Veterinary Reception/Receptionist.</t>
  </si>
  <si>
    <t>01.8204</t>
  </si>
  <si>
    <t>01.8204 Veterinary Administrative/Executive Assistant and Veterinary Secretary.</t>
  </si>
  <si>
    <t>01.8299</t>
  </si>
  <si>
    <t>01.8299 Veterinary Administrative Services, Other.</t>
  </si>
  <si>
    <t>01.83</t>
  </si>
  <si>
    <t>01.8301</t>
  </si>
  <si>
    <t>01.8301 Veterinary/Animal Health Technology/Technician and Veterinary Assistant.</t>
  </si>
  <si>
    <t>01.8399</t>
  </si>
  <si>
    <t>01.8399 Veterinary/Animal Health Technologies/Technicians, Other.</t>
  </si>
  <si>
    <t>01.99</t>
  </si>
  <si>
    <t>01.9999</t>
  </si>
  <si>
    <t>01.9999 Agricultural/Animal/Plant/Veterinary Science and Related Fields, Other.</t>
  </si>
  <si>
    <t>03</t>
  </si>
  <si>
    <t>03.01</t>
  </si>
  <si>
    <t>03.0101</t>
  </si>
  <si>
    <t>03.0101 Natural Resources/Conservation, General.</t>
  </si>
  <si>
    <t>03.0103</t>
  </si>
  <si>
    <t>03.0103 Environmental Studies.</t>
  </si>
  <si>
    <t>03.0104</t>
  </si>
  <si>
    <t>03.0104 Environmental Science.</t>
  </si>
  <si>
    <t>03.0199</t>
  </si>
  <si>
    <t>03.0199 Natural Resources Conservation and Research, Other.</t>
  </si>
  <si>
    <t>03.02</t>
  </si>
  <si>
    <t>03.0201</t>
  </si>
  <si>
    <t>03.0201 Environmental/Natural Resources Management and Policy, General.</t>
  </si>
  <si>
    <t>03.0204</t>
  </si>
  <si>
    <t>03.0204 Environmental/Natural Resource Economics.</t>
  </si>
  <si>
    <t>03.0205</t>
  </si>
  <si>
    <t>03.0205 Water, Wetlands, and Marine Resources Management.</t>
  </si>
  <si>
    <t>03.0206</t>
  </si>
  <si>
    <t>03.0206 Land Use Planning and Management/Development.</t>
  </si>
  <si>
    <t>03.0207</t>
  </si>
  <si>
    <t>03.0207 Environmental/Natural Resource Recreation and Tourism.</t>
  </si>
  <si>
    <t>03.0208</t>
  </si>
  <si>
    <t>03.0208 Environmental/Natural Resources Law Enforcement and Protective Services.</t>
  </si>
  <si>
    <t>03.0209</t>
  </si>
  <si>
    <t>03.0209 Energy and Environmental Policy.</t>
  </si>
  <si>
    <t>03.0210</t>
  </si>
  <si>
    <t>03.0210 Bioenergy.</t>
  </si>
  <si>
    <t>03.0299</t>
  </si>
  <si>
    <t>03.0299 Environmental/Natural Resources Management and Policy, Other.</t>
  </si>
  <si>
    <t>03.03</t>
  </si>
  <si>
    <t>03.0301</t>
  </si>
  <si>
    <t>03.0301 Fishing and Fisheries Sciences and Management.</t>
  </si>
  <si>
    <t>03.05</t>
  </si>
  <si>
    <t>03.0501</t>
  </si>
  <si>
    <t>03.0501 Forestry, General.</t>
  </si>
  <si>
    <t>03.0502</t>
  </si>
  <si>
    <t>03.0502 Forest Sciences and Biology.</t>
  </si>
  <si>
    <t>03.0506</t>
  </si>
  <si>
    <t>03.0506 Forest Management/Forest Resources Management.</t>
  </si>
  <si>
    <t>03.0508</t>
  </si>
  <si>
    <t>03.0508 Urban Forestry.</t>
  </si>
  <si>
    <t>03.0509</t>
  </si>
  <si>
    <t>03.0509 Wood Science and Wood Products/Pulp and Paper Technology/Technician.</t>
  </si>
  <si>
    <t>03.0510</t>
  </si>
  <si>
    <t>03.0510 Forest Resources Production and Management.</t>
  </si>
  <si>
    <t>03.0511</t>
  </si>
  <si>
    <t>03.0511 Forest Technology/Technician.</t>
  </si>
  <si>
    <t>03.0599</t>
  </si>
  <si>
    <t>03.0599 Forestry, Other.</t>
  </si>
  <si>
    <t>03.06</t>
  </si>
  <si>
    <t>03.0601</t>
  </si>
  <si>
    <t>03.0601 Wildlife, Fish and Wildlands Science and Management.</t>
  </si>
  <si>
    <t>03.99</t>
  </si>
  <si>
    <t>03.9999</t>
  </si>
  <si>
    <t>03.9999 Natural Resources and Conservation, Other.</t>
  </si>
  <si>
    <t>04</t>
  </si>
  <si>
    <t>04.02</t>
  </si>
  <si>
    <t>04.0200</t>
  </si>
  <si>
    <t>04.0200 Pre-Architecture Studies.</t>
  </si>
  <si>
    <t>04.0201</t>
  </si>
  <si>
    <t>04.0201 Architecture.</t>
  </si>
  <si>
    <t>04.0202</t>
  </si>
  <si>
    <t>04.0202 Architectural Design.</t>
  </si>
  <si>
    <t>04.0299</t>
  </si>
  <si>
    <t>04.0299 Architecture, Other.</t>
  </si>
  <si>
    <t>04.03</t>
  </si>
  <si>
    <t>04.0301</t>
  </si>
  <si>
    <t>04.0301 City/Urban, Community, and Regional Planning.</t>
  </si>
  <si>
    <t>04.04</t>
  </si>
  <si>
    <t>04.0401</t>
  </si>
  <si>
    <t>04.0401 Environmental Design/Architecture.</t>
  </si>
  <si>
    <t>04.0402</t>
  </si>
  <si>
    <t>04.0402 Healthcare Environment Design/Architecture.</t>
  </si>
  <si>
    <t>04.0403</t>
  </si>
  <si>
    <t>04.0403 Sustainable Design/Architecture.</t>
  </si>
  <si>
    <t>04.0499</t>
  </si>
  <si>
    <t>04.0499 Environmental Design, Other.</t>
  </si>
  <si>
    <t>04.05</t>
  </si>
  <si>
    <t>04.0501</t>
  </si>
  <si>
    <t>04.0501 Interior Architecture.</t>
  </si>
  <si>
    <t>04.06</t>
  </si>
  <si>
    <t>04.0601</t>
  </si>
  <si>
    <t>04.0601 Landscape Architecture.</t>
  </si>
  <si>
    <t>04.08</t>
  </si>
  <si>
    <t>04.0801</t>
  </si>
  <si>
    <t>04.0801 Architectural History and Criticism, General.</t>
  </si>
  <si>
    <t>04.0802</t>
  </si>
  <si>
    <t>04.0802 Architectural Conservation.</t>
  </si>
  <si>
    <t>04.0803</t>
  </si>
  <si>
    <t>04.0803 Architectural Studies.</t>
  </si>
  <si>
    <t>04.0899</t>
  </si>
  <si>
    <t>04.0899 Architectural History, Criticism, and Conservation, Other.</t>
  </si>
  <si>
    <t>04.09</t>
  </si>
  <si>
    <t>04.0901</t>
  </si>
  <si>
    <t>04.0901 Architectural Technology/Technician.</t>
  </si>
  <si>
    <t>04.0902</t>
  </si>
  <si>
    <t>04.0902 Architectural and Building Sciences/Technology.</t>
  </si>
  <si>
    <t>04.0999</t>
  </si>
  <si>
    <t>04.0999 Architectural Sciences and Technology, Other.</t>
  </si>
  <si>
    <t>04.10</t>
  </si>
  <si>
    <t>04.1001</t>
  </si>
  <si>
    <t>04.1001 Real Estate Development.</t>
  </si>
  <si>
    <t>04.99</t>
  </si>
  <si>
    <t>04.9999</t>
  </si>
  <si>
    <t>04.9999 Architecture and Related Services, Other.</t>
  </si>
  <si>
    <t>05</t>
  </si>
  <si>
    <t>05.01</t>
  </si>
  <si>
    <t>05.0101</t>
  </si>
  <si>
    <t>05.0101 African Studies.</t>
  </si>
  <si>
    <t>05.0102</t>
  </si>
  <si>
    <t>05.0102 American/United States Studies/Civilization.</t>
  </si>
  <si>
    <t>05.0103</t>
  </si>
  <si>
    <t>05.0103 Asian Studies/Civilization.</t>
  </si>
  <si>
    <t>05.0104</t>
  </si>
  <si>
    <t>05.0104 East Asian Studies.</t>
  </si>
  <si>
    <t>05.0105</t>
  </si>
  <si>
    <t>05.0105 Russian, Central European, East European and Eurasian Studies.</t>
  </si>
  <si>
    <t>05.0106</t>
  </si>
  <si>
    <t>05.0106 European Studies/Civilization.</t>
  </si>
  <si>
    <t>05.0107</t>
  </si>
  <si>
    <t>05.0107 Latin American Studies.</t>
  </si>
  <si>
    <t>05.0108</t>
  </si>
  <si>
    <t>05.0108 Near and Middle Eastern Studies.</t>
  </si>
  <si>
    <t>05.0109</t>
  </si>
  <si>
    <t>05.0109 Pacific Area/Pacific Rim Studies.</t>
  </si>
  <si>
    <t>05.0110</t>
  </si>
  <si>
    <t>05.0110 Russian Studies.</t>
  </si>
  <si>
    <t>05.0111</t>
  </si>
  <si>
    <t>05.0111 Scandinavian Studies.</t>
  </si>
  <si>
    <t>05.0112</t>
  </si>
  <si>
    <t>05.0112 South Asian Studies.</t>
  </si>
  <si>
    <t>05.0113</t>
  </si>
  <si>
    <t>05.0113 Southeast Asian Studies.</t>
  </si>
  <si>
    <t>05.0114</t>
  </si>
  <si>
    <t>05.0114 Western European Studies.</t>
  </si>
  <si>
    <t>05.0115</t>
  </si>
  <si>
    <t>05.0115 Canadian Studies.</t>
  </si>
  <si>
    <t>05.0116</t>
  </si>
  <si>
    <t>05.0116 Balkans Studies.</t>
  </si>
  <si>
    <t>05.0117</t>
  </si>
  <si>
    <t>05.0117 Baltic Studies.</t>
  </si>
  <si>
    <t>05.0118</t>
  </si>
  <si>
    <t>05.0118 Slavic Studies.</t>
  </si>
  <si>
    <t>05.0119</t>
  </si>
  <si>
    <t>05.0119 Caribbean Studies.</t>
  </si>
  <si>
    <t>05.0120</t>
  </si>
  <si>
    <t>05.0120 Ural-Altaic and Central Asian Studies.</t>
  </si>
  <si>
    <t>05.0121</t>
  </si>
  <si>
    <t>05.0121 Commonwealth Studies.</t>
  </si>
  <si>
    <t>05.0122</t>
  </si>
  <si>
    <t>05.0122 Regional Studies (U.S., Canadian, Foreign).</t>
  </si>
  <si>
    <t>05.0123</t>
  </si>
  <si>
    <t>05.0123 Chinese Studies.</t>
  </si>
  <si>
    <t>05.0124</t>
  </si>
  <si>
    <t>05.0124 French Studies.</t>
  </si>
  <si>
    <t>05.0125</t>
  </si>
  <si>
    <t>05.0125 German Studies.</t>
  </si>
  <si>
    <t>05.0126</t>
  </si>
  <si>
    <t>05.0126 Italian Studies.</t>
  </si>
  <si>
    <t>05.0127</t>
  </si>
  <si>
    <t>05.0127 Japanese Studies.</t>
  </si>
  <si>
    <t>05.0128</t>
  </si>
  <si>
    <t>05.0128 Korean Studies.</t>
  </si>
  <si>
    <t>05.0129</t>
  </si>
  <si>
    <t>05.0129 Polish Studies.</t>
  </si>
  <si>
    <t>05.0130</t>
  </si>
  <si>
    <t>05.0130 Spanish and Iberian Studies.</t>
  </si>
  <si>
    <t>05.0131</t>
  </si>
  <si>
    <t>05.0131 Tibetan Studies.</t>
  </si>
  <si>
    <t>05.0132</t>
  </si>
  <si>
    <t>05.0132 Ukraine Studies.</t>
  </si>
  <si>
    <t>05.0133</t>
  </si>
  <si>
    <t>05.0133 Irish Studies.</t>
  </si>
  <si>
    <t>05.0134</t>
  </si>
  <si>
    <t>05.0134 Latin American and Caribbean Studies.</t>
  </si>
  <si>
    <t>05.0135</t>
  </si>
  <si>
    <t>05.0135 Appalachian Studies.</t>
  </si>
  <si>
    <t>05.0136</t>
  </si>
  <si>
    <t>05.0136 Arctic Studies.</t>
  </si>
  <si>
    <t>05.0199</t>
  </si>
  <si>
    <t>05.0199 Area Studies, Other.</t>
  </si>
  <si>
    <t>05.0200</t>
  </si>
  <si>
    <t>05.0200 Ethnic Studies.</t>
  </si>
  <si>
    <t>05.02</t>
  </si>
  <si>
    <t>05.0201</t>
  </si>
  <si>
    <t>05.0201 African-American/Black Studies.</t>
  </si>
  <si>
    <t>05.0202</t>
  </si>
  <si>
    <t>05.0202 American Indian/Native American Studies.</t>
  </si>
  <si>
    <t>05.0203</t>
  </si>
  <si>
    <t>05.0203 Hispanic-American, Puerto Rican, and Mexican-American/Chicano Studies.</t>
  </si>
  <si>
    <t>05.0206</t>
  </si>
  <si>
    <t>05.0206 Asian-American Studies.</t>
  </si>
  <si>
    <t>05.0207</t>
  </si>
  <si>
    <t>05.0207 Women's Studies.</t>
  </si>
  <si>
    <t>05.0208</t>
  </si>
  <si>
    <t>05.0208 Gay/Lesbian Studies.</t>
  </si>
  <si>
    <t>05.0209</t>
  </si>
  <si>
    <t>05.0209 Folklore Studies.</t>
  </si>
  <si>
    <t>05.0210</t>
  </si>
  <si>
    <t>05.0210 Disability Studies.</t>
  </si>
  <si>
    <t>05.0211</t>
  </si>
  <si>
    <t>05.0211 Deaf Studies.</t>
  </si>
  <si>
    <t>05.0212</t>
  </si>
  <si>
    <t>05.0212 Comparative Group Studies.</t>
  </si>
  <si>
    <t>05.0299</t>
  </si>
  <si>
    <t>05.0299 Ethnic, Cultural Minority, Gender, and Group Studies, Other.</t>
  </si>
  <si>
    <t>05.99</t>
  </si>
  <si>
    <t>05.9999</t>
  </si>
  <si>
    <t>05.9999 Area, Ethnic, Cultural, Gender, and Group Studies, Other.</t>
  </si>
  <si>
    <t>09</t>
  </si>
  <si>
    <t>09.01</t>
  </si>
  <si>
    <t>09.0100</t>
  </si>
  <si>
    <t>09.0100 Communication, General.</t>
  </si>
  <si>
    <t>09.0101</t>
  </si>
  <si>
    <t>09.0101 Speech Communication and Rhetoric.</t>
  </si>
  <si>
    <t>09.0102</t>
  </si>
  <si>
    <t>09.0102 Mass Communication/Media Studies.</t>
  </si>
  <si>
    <t>09.0199</t>
  </si>
  <si>
    <t>09.0199 Communication and Media Studies, Other.</t>
  </si>
  <si>
    <t>09.04</t>
  </si>
  <si>
    <t>09.0401</t>
  </si>
  <si>
    <t>09.0401 Journalism.</t>
  </si>
  <si>
    <t>09.0402</t>
  </si>
  <si>
    <t>09.0402 Broadcast Journalism.</t>
  </si>
  <si>
    <t>09.0404</t>
  </si>
  <si>
    <t>09.0404 Photojournalism.</t>
  </si>
  <si>
    <t>09.0405</t>
  </si>
  <si>
    <t>09.0405 Business and Economic Journalism.</t>
  </si>
  <si>
    <t>09.0406</t>
  </si>
  <si>
    <t>09.0406 Cultural Journalism.</t>
  </si>
  <si>
    <t>09.0407</t>
  </si>
  <si>
    <t>09.0407 Science/Health/Environmental Journalism.</t>
  </si>
  <si>
    <t>09.0499</t>
  </si>
  <si>
    <t>09.0499 Journalism, Other.</t>
  </si>
  <si>
    <t>09.07</t>
  </si>
  <si>
    <t>09.0701</t>
  </si>
  <si>
    <t>09.0701 Radio and Television.</t>
  </si>
  <si>
    <t>09.0702</t>
  </si>
  <si>
    <t>09.0702 Digital Communication and Media/Multimedia.</t>
  </si>
  <si>
    <t>09.0799</t>
  </si>
  <si>
    <t>09.0799 Radio, Television, and Digital Communication, Other.</t>
  </si>
  <si>
    <t>09.09</t>
  </si>
  <si>
    <t>09.0900</t>
  </si>
  <si>
    <t>09.0900 Public Relations, Advertising, and Applied Communication.</t>
  </si>
  <si>
    <t>09.0901</t>
  </si>
  <si>
    <t>09.0901 Organizational Communication, General.</t>
  </si>
  <si>
    <t>09.0902</t>
  </si>
  <si>
    <t>09.0902 Public Relations/Image Management.</t>
  </si>
  <si>
    <t>09.0903</t>
  </si>
  <si>
    <t>09.0903 Advertising.</t>
  </si>
  <si>
    <t>09.0904</t>
  </si>
  <si>
    <t>09.0904 Political Communication.</t>
  </si>
  <si>
    <t>09.0905</t>
  </si>
  <si>
    <t>09.0905 Health Communication.</t>
  </si>
  <si>
    <t>09.0906</t>
  </si>
  <si>
    <t>09.0906 Sports Communication.</t>
  </si>
  <si>
    <t>09.0907</t>
  </si>
  <si>
    <t>09.0907 International and Intercultural Communication.</t>
  </si>
  <si>
    <t>09.0908</t>
  </si>
  <si>
    <t>09.0908 Technical and Scientific Communication.</t>
  </si>
  <si>
    <t>09.0909</t>
  </si>
  <si>
    <t>09.0909 Communication Management and Strategic Communications.</t>
  </si>
  <si>
    <t>09.0999</t>
  </si>
  <si>
    <t>09.0999 Public Relations, Advertising, and Applied Communication, Other.</t>
  </si>
  <si>
    <t>09.10</t>
  </si>
  <si>
    <t>09.1001</t>
  </si>
  <si>
    <t>09.1001 Publishing.</t>
  </si>
  <si>
    <t>09.99</t>
  </si>
  <si>
    <t>09.9999</t>
  </si>
  <si>
    <t>09.9999 Communication, Journalism, and Related Programs, Other.</t>
  </si>
  <si>
    <t>10</t>
  </si>
  <si>
    <t>10.01</t>
  </si>
  <si>
    <t>10.0105</t>
  </si>
  <si>
    <t>10.0105 Communications Technology/Technician.</t>
  </si>
  <si>
    <t>10.02</t>
  </si>
  <si>
    <t>10.0201</t>
  </si>
  <si>
    <t>10.0201 Photographic and Film/Video Technology/Technician.</t>
  </si>
  <si>
    <t>10.0202</t>
  </si>
  <si>
    <t>10.0202 Radio and Television Broadcasting Technology/Technician.</t>
  </si>
  <si>
    <t>10.0203</t>
  </si>
  <si>
    <t>10.0203 Recording Arts Technology/Technician.</t>
  </si>
  <si>
    <t>10.0204</t>
  </si>
  <si>
    <t>10.0204 Voice Writing Technology/Technician.</t>
  </si>
  <si>
    <t>10.0299</t>
  </si>
  <si>
    <t>10.0299 Audiovisual Communications Technologies/Technicians, Other.</t>
  </si>
  <si>
    <t>10.03</t>
  </si>
  <si>
    <t>10.0301</t>
  </si>
  <si>
    <t>10.0301 Graphic Communications, General.</t>
  </si>
  <si>
    <t>10.0302</t>
  </si>
  <si>
    <t>10.0302 Printing Management.</t>
  </si>
  <si>
    <t>10.0303</t>
  </si>
  <si>
    <t>10.0303 Prepress/Desktop Publishing and Digital Imaging Design.</t>
  </si>
  <si>
    <t>10.0304</t>
  </si>
  <si>
    <t>10.0304 Animation, Interactive Technology, Video Graphics, and Special Effects.</t>
  </si>
  <si>
    <t>10.0305</t>
  </si>
  <si>
    <t>10.0305 Graphic and Printing Equipment Operator, General Production.</t>
  </si>
  <si>
    <t>10.0306</t>
  </si>
  <si>
    <t>10.0306 Platemaker/Imager.</t>
  </si>
  <si>
    <t>10.0307</t>
  </si>
  <si>
    <t>10.0307 Printing Press Operator.</t>
  </si>
  <si>
    <t>10.0308</t>
  </si>
  <si>
    <t>10.0308 Computer Typography and Composition Equipment Operator.</t>
  </si>
  <si>
    <t>10.0399</t>
  </si>
  <si>
    <t>10.0399 Graphic Communications, Other.</t>
  </si>
  <si>
    <t>10.99</t>
  </si>
  <si>
    <t>10.9999</t>
  </si>
  <si>
    <t>10.9999 Communications Technologies/Technicians and Support Services, Other.</t>
  </si>
  <si>
    <t>11</t>
  </si>
  <si>
    <t>11.01</t>
  </si>
  <si>
    <t>11.0101</t>
  </si>
  <si>
    <t>11.0101 Computer and Information Sciences, General.</t>
  </si>
  <si>
    <t>11.0102</t>
  </si>
  <si>
    <t>11.0102 Artificial Intelligence.</t>
  </si>
  <si>
    <t>11.0103</t>
  </si>
  <si>
    <t>11.0103 Information Technology.</t>
  </si>
  <si>
    <t>11.0104</t>
  </si>
  <si>
    <t>11.0104 Informatics.</t>
  </si>
  <si>
    <t>11.0105</t>
  </si>
  <si>
    <t>11.0105 Human-Centered Technology Design.</t>
  </si>
  <si>
    <t>11.0199</t>
  </si>
  <si>
    <t>11.0199 Computer and Information Sciences,  Other.</t>
  </si>
  <si>
    <t>11.02</t>
  </si>
  <si>
    <t>11.0201</t>
  </si>
  <si>
    <t>11.0201 Computer Programming/Programmer, General.</t>
  </si>
  <si>
    <t>11.0202</t>
  </si>
  <si>
    <t>11.0202 Computer Programming, Specific Applications.</t>
  </si>
  <si>
    <t>11.0203</t>
  </si>
  <si>
    <t>11.0203 Computer Programming, Vendor/Product Certification.</t>
  </si>
  <si>
    <t>11.0204</t>
  </si>
  <si>
    <t>11.0204 Computer Game Programming.</t>
  </si>
  <si>
    <t>11.0205</t>
  </si>
  <si>
    <t>11.0205 Computer Programming, Specific Platforms.</t>
  </si>
  <si>
    <t>11.0299</t>
  </si>
  <si>
    <t>11.0299 Computer Programming, Other.</t>
  </si>
  <si>
    <t>11.03</t>
  </si>
  <si>
    <t>11.0301</t>
  </si>
  <si>
    <t>11.0301 Data Processing and Data Processing Technology/Technician.</t>
  </si>
  <si>
    <t>11.04</t>
  </si>
  <si>
    <t>11.0401</t>
  </si>
  <si>
    <t>11.0401 Information Science/Studies.</t>
  </si>
  <si>
    <t>11.05</t>
  </si>
  <si>
    <t>11.0501</t>
  </si>
  <si>
    <t>11.0501 Computer Systems Analysis/Analyst.</t>
  </si>
  <si>
    <t>11.06</t>
  </si>
  <si>
    <t>11.0601</t>
  </si>
  <si>
    <t>11.0601 Data Entry/Microcomputer Applications, General.</t>
  </si>
  <si>
    <t>11.0602</t>
  </si>
  <si>
    <t>11.0602 Word Processing.</t>
  </si>
  <si>
    <t>11.0699</t>
  </si>
  <si>
    <t>11.0699 Data Entry/Microcomputer Applications, Other.</t>
  </si>
  <si>
    <t>11.07</t>
  </si>
  <si>
    <t>11.0701</t>
  </si>
  <si>
    <t>11.0701 Computer Science.</t>
  </si>
  <si>
    <t>11.08</t>
  </si>
  <si>
    <t>11.0801</t>
  </si>
  <si>
    <t>11.0801 Web Page, Digital/Multimedia and Information Resources Design.</t>
  </si>
  <si>
    <t>11.0802</t>
  </si>
  <si>
    <t>11.0802 Data Modeling/Warehousing and Database Administration.</t>
  </si>
  <si>
    <t>11.0803</t>
  </si>
  <si>
    <t>11.0803 Computer Graphics.</t>
  </si>
  <si>
    <t>11.0804</t>
  </si>
  <si>
    <t>11.0804 Modeling, Virtual Environments and Simulation.</t>
  </si>
  <si>
    <t>11.0899</t>
  </si>
  <si>
    <t>11.0899 Computer Software and Media Applications, Other.</t>
  </si>
  <si>
    <t>11.09</t>
  </si>
  <si>
    <t>11.0901</t>
  </si>
  <si>
    <t>11.0901 Computer Systems Networking and Telecommunications.</t>
  </si>
  <si>
    <t>11.0902</t>
  </si>
  <si>
    <t>11.0902 Cloud Computing.</t>
  </si>
  <si>
    <t>11.0999</t>
  </si>
  <si>
    <t>11.0999 Computer Systems Networking and Telecommunications, Other.</t>
  </si>
  <si>
    <t>11.10</t>
  </si>
  <si>
    <t>11.1001</t>
  </si>
  <si>
    <t>11.1001 Network and System Administration/Administrator.</t>
  </si>
  <si>
    <t>11.1002</t>
  </si>
  <si>
    <t>11.1002 System, Networking, and LAN/WAN Management/Manager.</t>
  </si>
  <si>
    <t>11.1003</t>
  </si>
  <si>
    <t>11.1003 Computer and Information Systems Security/Auditing/Information Assurance.</t>
  </si>
  <si>
    <t>11.1004</t>
  </si>
  <si>
    <t>11.1004 Web/Multimedia Management and Webmaster.</t>
  </si>
  <si>
    <t>11.1005</t>
  </si>
  <si>
    <t>11.1005 Information Technology Project Management.</t>
  </si>
  <si>
    <t>11.1006</t>
  </si>
  <si>
    <t>11.1006 Computer Support Specialist.</t>
  </si>
  <si>
    <t>11.1099</t>
  </si>
  <si>
    <t>11.1099 Computer/Information Technology Services Administration and Management, Other.</t>
  </si>
  <si>
    <t>11.99</t>
  </si>
  <si>
    <t>11.9999</t>
  </si>
  <si>
    <t>11.9999 Computer and Information Sciences and Support Services, Other.</t>
  </si>
  <si>
    <t>12</t>
  </si>
  <si>
    <t>12.03</t>
  </si>
  <si>
    <t>12.0301</t>
  </si>
  <si>
    <t>12.0301 Funeral Service and Mortuary Science, General.</t>
  </si>
  <si>
    <t>12.0302</t>
  </si>
  <si>
    <t>12.0302 Funeral Direction/Service.</t>
  </si>
  <si>
    <t>12.0303</t>
  </si>
  <si>
    <t>12.0303 Mortuary Science and Embalming/Embalmer.</t>
  </si>
  <si>
    <t>12.0399</t>
  </si>
  <si>
    <t>12.0399 Funeral Service and Mortuary Science, Other.</t>
  </si>
  <si>
    <t>12.04</t>
  </si>
  <si>
    <t>12.0401</t>
  </si>
  <si>
    <t>12.0401 Cosmetology/Cosmetologist, General.</t>
  </si>
  <si>
    <t>12.0402</t>
  </si>
  <si>
    <t>12.0402 Barbering/Barber.</t>
  </si>
  <si>
    <t>12.0404</t>
  </si>
  <si>
    <t>12.0404 Electrolysis/Electrology and Electrolysis Technician.</t>
  </si>
  <si>
    <t>12.0406</t>
  </si>
  <si>
    <t>12.0406 Make-Up Artist/Specialist.</t>
  </si>
  <si>
    <t>12.0407</t>
  </si>
  <si>
    <t>12.0407 Hair Styling/Stylist and Hair Design.</t>
  </si>
  <si>
    <t>12.0408</t>
  </si>
  <si>
    <t>12.0408 Facial Treatment Specialist/Facialist.</t>
  </si>
  <si>
    <t>12.0409</t>
  </si>
  <si>
    <t>12.0409 Aesthetician/Esthetician and Skin Care Specialist.</t>
  </si>
  <si>
    <t>12.0410</t>
  </si>
  <si>
    <t>12.0410 Nail Technician/Specialist and Manicurist.</t>
  </si>
  <si>
    <t>12.0411</t>
  </si>
  <si>
    <t>12.0411 Permanent Cosmetics/Makeup and Tattooing.</t>
  </si>
  <si>
    <t>12.0412</t>
  </si>
  <si>
    <t>12.0412 Salon/Beauty Salon Management/Manager.</t>
  </si>
  <si>
    <t>12.0413</t>
  </si>
  <si>
    <t>12.0413 Cosmetology, Barber/Styling, and Nail Instructor.</t>
  </si>
  <si>
    <t>12.0414</t>
  </si>
  <si>
    <t>12.0414 Master Aesthetician/Esthetician.</t>
  </si>
  <si>
    <t>12.0499</t>
  </si>
  <si>
    <t>12.0499 Cosmetology and Related Personal Grooming Arts, Other.</t>
  </si>
  <si>
    <t>12.0500</t>
  </si>
  <si>
    <t>12.0500 Cooking and Related Culinary Arts, General.</t>
  </si>
  <si>
    <t>12.05</t>
  </si>
  <si>
    <t>12.0501</t>
  </si>
  <si>
    <t>12.0501 Baking and Pastry Arts/Baker/Pastry Chef.</t>
  </si>
  <si>
    <t>12.0502</t>
  </si>
  <si>
    <t>12.0502 Bartending/Bartender.</t>
  </si>
  <si>
    <t>12.0503</t>
  </si>
  <si>
    <t>12.0503 Culinary Arts/Chef Training.</t>
  </si>
  <si>
    <t>12.0504</t>
  </si>
  <si>
    <t>12.0504 Restaurant, Culinary, and Catering Management/Manager.</t>
  </si>
  <si>
    <t>12.0505</t>
  </si>
  <si>
    <t>12.0505 Food Preparation/Professional Cooking/Kitchen Assistant.</t>
  </si>
  <si>
    <t>12.0506</t>
  </si>
  <si>
    <t>12.0506 Meat Cutting/Meat Cutter.</t>
  </si>
  <si>
    <t>12.0507</t>
  </si>
  <si>
    <t>12.0507 Food Service, Waiter/Waitress, and Dining Room Management/Manager.</t>
  </si>
  <si>
    <t>12.0508</t>
  </si>
  <si>
    <t>12.0508 Institutional Food Workers.</t>
  </si>
  <si>
    <t>12.0509</t>
  </si>
  <si>
    <t>12.0509 Culinary Science/Culinology.</t>
  </si>
  <si>
    <t>12.0510</t>
  </si>
  <si>
    <t>12.0510 Wine Steward/Sommelier.</t>
  </si>
  <si>
    <t>12.0580</t>
  </si>
  <si>
    <t>12.0580 Reserved.</t>
  </si>
  <si>
    <t>12.0599</t>
  </si>
  <si>
    <t>12.0599 Culinary Arts and Related Services, Other.</t>
  </si>
  <si>
    <t>12.06</t>
  </si>
  <si>
    <t>12.0601</t>
  </si>
  <si>
    <t>12.0601 Casino Operations and Services, General.</t>
  </si>
  <si>
    <t>12.0602</t>
  </si>
  <si>
    <t>12.0602 Casino Dealing.</t>
  </si>
  <si>
    <t>12.0699</t>
  </si>
  <si>
    <t>12.0699 Casino Operations and Services, Other.</t>
  </si>
  <si>
    <t>12.99</t>
  </si>
  <si>
    <t>12.9999</t>
  </si>
  <si>
    <t>12.9999 Culinary, Entertainment, and Personal Services, Other.</t>
  </si>
  <si>
    <t>13</t>
  </si>
  <si>
    <t>13.01</t>
  </si>
  <si>
    <t>13.0101</t>
  </si>
  <si>
    <t>13.0101 Education, General.</t>
  </si>
  <si>
    <t>13.02</t>
  </si>
  <si>
    <t>13.0201</t>
  </si>
  <si>
    <t>13.0201 Bilingual and Multilingual Education.</t>
  </si>
  <si>
    <t>13.0202</t>
  </si>
  <si>
    <t>13.0202 Multicultural Education.</t>
  </si>
  <si>
    <t>13.0203</t>
  </si>
  <si>
    <t>13.0203 Indian/Native American Education.</t>
  </si>
  <si>
    <t>13.0299</t>
  </si>
  <si>
    <t>13.0299 Bilingual, Multilingual, and Multicultural Education, Other.</t>
  </si>
  <si>
    <t>13.03</t>
  </si>
  <si>
    <t>13.0301</t>
  </si>
  <si>
    <t>13.0301 Curriculum and Instruction.</t>
  </si>
  <si>
    <t>13.04</t>
  </si>
  <si>
    <t>13.0401</t>
  </si>
  <si>
    <t>13.0401 Educational Leadership and Administration, General.</t>
  </si>
  <si>
    <t>13.0402</t>
  </si>
  <si>
    <t>13.0402 Administration of Special Education.</t>
  </si>
  <si>
    <t>13.0403</t>
  </si>
  <si>
    <t>13.0403 Adult and Continuing Education Administration.</t>
  </si>
  <si>
    <t>13.0404</t>
  </si>
  <si>
    <t>13.0404 Educational, Instructional, and Curriculum Supervision.</t>
  </si>
  <si>
    <t>13.0406</t>
  </si>
  <si>
    <t>13.0406 Higher Education/Higher Education Administration.</t>
  </si>
  <si>
    <t>13.0407</t>
  </si>
  <si>
    <t>13.0407 Community College Administration.</t>
  </si>
  <si>
    <t>13.0408</t>
  </si>
  <si>
    <t>13.0408 Elementary and Middle School Administration/Principalship.</t>
  </si>
  <si>
    <t>13.0409</t>
  </si>
  <si>
    <t>13.0409 Secondary School Administration/Principalship.</t>
  </si>
  <si>
    <t>13.0410</t>
  </si>
  <si>
    <t>13.0410 Urban Education and Leadership.</t>
  </si>
  <si>
    <t>13.0411</t>
  </si>
  <si>
    <t>13.0411 Superintendency and Educational System Administration.</t>
  </si>
  <si>
    <t>13.0412</t>
  </si>
  <si>
    <t>13.0412 International School Administration/Leadership.</t>
  </si>
  <si>
    <t>13.0413</t>
  </si>
  <si>
    <t>13.0413 Education Entrepreneurship.</t>
  </si>
  <si>
    <t>13.0414</t>
  </si>
  <si>
    <t>13.0414 Early Childhood Program Administration.</t>
  </si>
  <si>
    <t>13.0499</t>
  </si>
  <si>
    <t>13.0499 Educational Administration and Supervision, Other.</t>
  </si>
  <si>
    <t>13.05</t>
  </si>
  <si>
    <t>13.0501</t>
  </si>
  <si>
    <t>13.0501 Educational/Instructional Technology.</t>
  </si>
  <si>
    <t>13.06</t>
  </si>
  <si>
    <t>13.0601</t>
  </si>
  <si>
    <t>13.0601 Educational Evaluation and Research.</t>
  </si>
  <si>
    <t>13.0603</t>
  </si>
  <si>
    <t>13.0603 Educational Statistics and Research Methods.</t>
  </si>
  <si>
    <t>13.0604</t>
  </si>
  <si>
    <t>13.0604 Educational Assessment, Testing, and Measurement.</t>
  </si>
  <si>
    <t>13.0607</t>
  </si>
  <si>
    <t>13.0607 Learning Sciences.</t>
  </si>
  <si>
    <t>13.0608</t>
  </si>
  <si>
    <t>13.0608 Institutional Research.</t>
  </si>
  <si>
    <t>13.0699</t>
  </si>
  <si>
    <t>13.0699 Educational Assessment, Evaluation, and Research, Other.</t>
  </si>
  <si>
    <t>13.07</t>
  </si>
  <si>
    <t>13.0701</t>
  </si>
  <si>
    <t>13.0701 International and Comparative Education.</t>
  </si>
  <si>
    <t>13.09</t>
  </si>
  <si>
    <t>13.0901</t>
  </si>
  <si>
    <t>13.0901 Social and Philosophical Foundations of Education.</t>
  </si>
  <si>
    <t>13.10</t>
  </si>
  <si>
    <t>13.1001</t>
  </si>
  <si>
    <t>13.1001 Special Education and Teaching, General.</t>
  </si>
  <si>
    <t>13.1003</t>
  </si>
  <si>
    <t>13.1003 Education/Teaching of Individuals with Hearing Impairments Including Deafness.</t>
  </si>
  <si>
    <t>13.1004</t>
  </si>
  <si>
    <t>13.1004 Education/Teaching of the Gifted and Talented.</t>
  </si>
  <si>
    <t>13.1005</t>
  </si>
  <si>
    <t>13.1005 Education/Teaching of Individuals with Emotional Disturbances.</t>
  </si>
  <si>
    <t>13.1006</t>
  </si>
  <si>
    <t>13.1006 Education/Teaching of Individuals with Intellectual Disabilities.</t>
  </si>
  <si>
    <t>13.1007</t>
  </si>
  <si>
    <t>13.1007 Education/Teaching of Individuals with Multiple Disabilities.</t>
  </si>
  <si>
    <t>13.1008</t>
  </si>
  <si>
    <t>13.1008 Education/Teaching of Individuals with Orthopedic and Other Physical Health Impairments.</t>
  </si>
  <si>
    <t>13.1009</t>
  </si>
  <si>
    <t>13.1009 Education/Teaching of Individuals with Vision Impairments Including Blindness.</t>
  </si>
  <si>
    <t>13.1011</t>
  </si>
  <si>
    <t>13.1011 Education/Teaching of Individuals with Specific Learning Disabilities.</t>
  </si>
  <si>
    <t>13.1012</t>
  </si>
  <si>
    <t>13.1012 Education/Teaching of Individuals with Speech or Language Impairments.</t>
  </si>
  <si>
    <t>13.1013</t>
  </si>
  <si>
    <t>13.1013 Education/Teaching of Individuals with Autism.</t>
  </si>
  <si>
    <t>13.1014</t>
  </si>
  <si>
    <t>13.1014 Education/Teaching of Individuals Who are Developmentally Delayed.</t>
  </si>
  <si>
    <t>13.1015</t>
  </si>
  <si>
    <t>13.1015 Education/Teaching of Individuals in Early Childhood Special Education Programs.</t>
  </si>
  <si>
    <t>13.1016</t>
  </si>
  <si>
    <t>13.1016 Education/Teaching of Individuals with Traumatic Brain Injuries.</t>
  </si>
  <si>
    <t>13.1017</t>
  </si>
  <si>
    <t>13.1017 Education/Teaching of Individuals in Elementary Special Education Programs.</t>
  </si>
  <si>
    <t>13.1018</t>
  </si>
  <si>
    <t>13.1018 Education/Teaching of Individuals in Junior High/Middle School Special Education Programs.</t>
  </si>
  <si>
    <t>13.1019</t>
  </si>
  <si>
    <t>13.1019 Education/Teaching of Individuals in Secondary Special Education Programs.</t>
  </si>
  <si>
    <t>13.1099</t>
  </si>
  <si>
    <t>13.1099 Special Education and Teaching, Other.</t>
  </si>
  <si>
    <t>13.11</t>
  </si>
  <si>
    <t>13.1101</t>
  </si>
  <si>
    <t>13.1101 Counselor Education/School Counseling and Guidance Services.</t>
  </si>
  <si>
    <t>13.1102</t>
  </si>
  <si>
    <t>13.1102 College Student Counseling and Personnel Services.</t>
  </si>
  <si>
    <t>13.1199</t>
  </si>
  <si>
    <t>13.1199 Student Counseling and Personnel Services, Other.</t>
  </si>
  <si>
    <t>13.12</t>
  </si>
  <si>
    <t>13.1201</t>
  </si>
  <si>
    <t>13.1201 Adult and Continuing Education and Teaching.</t>
  </si>
  <si>
    <t>13.1202</t>
  </si>
  <si>
    <t>13.1202 Elementary Education and Teaching.</t>
  </si>
  <si>
    <t>13.1203</t>
  </si>
  <si>
    <t>13.1203 Junior High/Intermediate/Middle School Education and Teaching.</t>
  </si>
  <si>
    <t>13.1205</t>
  </si>
  <si>
    <t>13.1205 Secondary Education and Teaching.</t>
  </si>
  <si>
    <t>13.1206</t>
  </si>
  <si>
    <t>13.1206 Teacher Education, Multiple Levels.</t>
  </si>
  <si>
    <t>13.1207</t>
  </si>
  <si>
    <t>13.1207 Montessori Teacher Education.</t>
  </si>
  <si>
    <t>13.1208</t>
  </si>
  <si>
    <t>13.1208 Waldorf/Steiner Teacher Education.</t>
  </si>
  <si>
    <t>13.1209</t>
  </si>
  <si>
    <t>13.1209 Kindergarten/Preschool Education and Teaching.</t>
  </si>
  <si>
    <t>13.1210</t>
  </si>
  <si>
    <t>13.1210 Early Childhood Education and Teaching.</t>
  </si>
  <si>
    <t>13.1211</t>
  </si>
  <si>
    <t>13.1211 Online Educator/Online Teaching.</t>
  </si>
  <si>
    <t>13.1212</t>
  </si>
  <si>
    <t>13.1212 International Teaching and Learning.</t>
  </si>
  <si>
    <t>13.1213</t>
  </si>
  <si>
    <t>13.1213 Science, Technology, Engineering, and Mathematics (STEM) Educational Methods.</t>
  </si>
  <si>
    <t>13.1214</t>
  </si>
  <si>
    <t>13.1214 College/Postsecondary/University Teaching.</t>
  </si>
  <si>
    <t>13.1299</t>
  </si>
  <si>
    <t>13.1299 Teacher Education and Professional Development, Specific Levels and Methods, Other.</t>
  </si>
  <si>
    <t>13.13</t>
  </si>
  <si>
    <t>13.1301</t>
  </si>
  <si>
    <t>13.1301 Agricultural Teacher Education.</t>
  </si>
  <si>
    <t>13.1302</t>
  </si>
  <si>
    <t>13.1302 Art Teacher Education.</t>
  </si>
  <si>
    <t>13.1303</t>
  </si>
  <si>
    <t>13.1303 Business and Innovation/Entrepreneurship Teacher Education.</t>
  </si>
  <si>
    <t>13.1304</t>
  </si>
  <si>
    <t>13.1304 Driver and Safety Teacher Education.</t>
  </si>
  <si>
    <t>13.1305</t>
  </si>
  <si>
    <t>13.1305 English/Language Arts Teacher Education.</t>
  </si>
  <si>
    <t>13.1306</t>
  </si>
  <si>
    <t>13.1306 Foreign Language Teacher  Education.</t>
  </si>
  <si>
    <t>13.1307</t>
  </si>
  <si>
    <t>13.1307 Health Teacher Education.</t>
  </si>
  <si>
    <t>13.1308</t>
  </si>
  <si>
    <t>13.1308 Family and Consumer Sciences/Home Economics Teacher Education.</t>
  </si>
  <si>
    <t>13.1309</t>
  </si>
  <si>
    <t>13.1309 Technology Teacher Education/Industrial Arts Teacher Education.</t>
  </si>
  <si>
    <t>13.1310</t>
  </si>
  <si>
    <t>13.1310 Sales and Marketing Operations/Marketing and Distribution   Teacher Education.</t>
  </si>
  <si>
    <t>13.1311</t>
  </si>
  <si>
    <t>13.1311 Mathematics Teacher Education.</t>
  </si>
  <si>
    <t>13.1312</t>
  </si>
  <si>
    <t>13.1312 Music Teacher Education.</t>
  </si>
  <si>
    <t>13.1314</t>
  </si>
  <si>
    <t>13.1314 Physical Education Teaching and Coaching.</t>
  </si>
  <si>
    <t>13.1315</t>
  </si>
  <si>
    <t>13.1315 Reading Teacher Education.</t>
  </si>
  <si>
    <t>13.1316</t>
  </si>
  <si>
    <t>13.1316 Science Teacher Education/General Science Teacher Education.</t>
  </si>
  <si>
    <t>13.1317</t>
  </si>
  <si>
    <t>13.1317 Social Science Teacher Education.</t>
  </si>
  <si>
    <t>13.1318</t>
  </si>
  <si>
    <t>13.1318 Social Studies Teacher Education.</t>
  </si>
  <si>
    <t>13.1319</t>
  </si>
  <si>
    <t>13.1319 Technical Teacher Education.</t>
  </si>
  <si>
    <t>13.1320</t>
  </si>
  <si>
    <t>13.1320 Trade and Industrial Teacher Education.</t>
  </si>
  <si>
    <t>13.1321</t>
  </si>
  <si>
    <t>13.1321 Computer Teacher Education.</t>
  </si>
  <si>
    <t>13.1322</t>
  </si>
  <si>
    <t>13.1322 Biology Teacher Education.</t>
  </si>
  <si>
    <t>13.1323</t>
  </si>
  <si>
    <t>13.1323 Chemistry Teacher Education.</t>
  </si>
  <si>
    <t>13.1324</t>
  </si>
  <si>
    <t>13.1324 Drama and Dance Teacher Education.</t>
  </si>
  <si>
    <t>13.1325</t>
  </si>
  <si>
    <t>13.1325 French Language Teacher Education.</t>
  </si>
  <si>
    <t>13.1326</t>
  </si>
  <si>
    <t>13.1326 German Language Teacher Education.</t>
  </si>
  <si>
    <t>13.1327</t>
  </si>
  <si>
    <t>13.1327 Health Occupations Teacher Education.</t>
  </si>
  <si>
    <t>13.1328</t>
  </si>
  <si>
    <t>13.1328 History Teacher Education.</t>
  </si>
  <si>
    <t>13.1329</t>
  </si>
  <si>
    <t>13.1329 Physics Teacher Education.</t>
  </si>
  <si>
    <t>13.1330</t>
  </si>
  <si>
    <t>13.1330 Spanish Language Teacher Education.</t>
  </si>
  <si>
    <t>13.1331</t>
  </si>
  <si>
    <t>13.1331 Speech Teacher Education.</t>
  </si>
  <si>
    <t>13.1332</t>
  </si>
  <si>
    <t>13.1332 Geography Teacher Education.</t>
  </si>
  <si>
    <t>13.1333</t>
  </si>
  <si>
    <t>13.1333 Latin Teacher Education.</t>
  </si>
  <si>
    <t>13.1334</t>
  </si>
  <si>
    <t>13.1334 School Librarian/School Library Media Specialist.</t>
  </si>
  <si>
    <t>13.1335</t>
  </si>
  <si>
    <t>13.1335 Psychology Teacher Education.</t>
  </si>
  <si>
    <t>13.1337</t>
  </si>
  <si>
    <t>13.1337 Earth Science Teacher Education.</t>
  </si>
  <si>
    <t>13.1338</t>
  </si>
  <si>
    <t>13.1338 Environmental Education.</t>
  </si>
  <si>
    <t>13.1339</t>
  </si>
  <si>
    <t>13.1339 Communication Arts and Literature Teacher Education.</t>
  </si>
  <si>
    <t>13.1399</t>
  </si>
  <si>
    <t>13.1399 Teacher Education and Professional Development, Specific Subject Areas, Other.</t>
  </si>
  <si>
    <t>13.14</t>
  </si>
  <si>
    <t>13.1401</t>
  </si>
  <si>
    <t>13.1401 Teaching English as a Second or Foreign Language/ESL Language Instructor.</t>
  </si>
  <si>
    <t>13.1402</t>
  </si>
  <si>
    <t>13.1402 Teaching French as a Second or Foreign Language.</t>
  </si>
  <si>
    <t>13.1499</t>
  </si>
  <si>
    <t>13.1499 Teaching English or French as a Second or Foreign Language, Other.</t>
  </si>
  <si>
    <t>13.15</t>
  </si>
  <si>
    <t>13.1501</t>
  </si>
  <si>
    <t>13.1501 Teacher Assistant/Aide.</t>
  </si>
  <si>
    <t>13.1502</t>
  </si>
  <si>
    <t>13.1502 Adult Literacy Tutor/Instructor.</t>
  </si>
  <si>
    <t>13.1599</t>
  </si>
  <si>
    <t>13.1599 Teaching Assistants/Aides, Other.</t>
  </si>
  <si>
    <t>13.99</t>
  </si>
  <si>
    <t>13.9999</t>
  </si>
  <si>
    <t>13.9999 Education, Other.</t>
  </si>
  <si>
    <t>14</t>
  </si>
  <si>
    <t>14.01</t>
  </si>
  <si>
    <t>14.0101</t>
  </si>
  <si>
    <t>14.0101 Engineering, General.</t>
  </si>
  <si>
    <t>14.0102</t>
  </si>
  <si>
    <t>14.0102 Pre-Engineering.</t>
  </si>
  <si>
    <t>14.0103</t>
  </si>
  <si>
    <t>14.0103 Applied Engineering.</t>
  </si>
  <si>
    <t>14.02</t>
  </si>
  <si>
    <t>14.0201</t>
  </si>
  <si>
    <t>14.0201 Aerospace, Aeronautical, and Astronautical/Space Engineering, General.</t>
  </si>
  <si>
    <t>14.0202</t>
  </si>
  <si>
    <t>14.0202 Astronautical Engineering.</t>
  </si>
  <si>
    <t>14.0299</t>
  </si>
  <si>
    <t>14.0299 Aerospace, Aeronautical, and Astronautical/Space Engineering, Other.</t>
  </si>
  <si>
    <t>14.03</t>
  </si>
  <si>
    <t>14.0301</t>
  </si>
  <si>
    <t>14.0301 Agricultural Engineering.</t>
  </si>
  <si>
    <t>14.04</t>
  </si>
  <si>
    <t>14.0401</t>
  </si>
  <si>
    <t>14.0401 Architectural Engineering.</t>
  </si>
  <si>
    <t>14.05</t>
  </si>
  <si>
    <t>14.0501</t>
  </si>
  <si>
    <t>14.0501 Bioengineering and Biomedical Engineering.</t>
  </si>
  <si>
    <t>14.06</t>
  </si>
  <si>
    <t>14.0601</t>
  </si>
  <si>
    <t>14.0601 Ceramic Sciences and Engineering.</t>
  </si>
  <si>
    <t>14.07</t>
  </si>
  <si>
    <t>14.0701</t>
  </si>
  <si>
    <t>14.0701 Chemical Engineering.</t>
  </si>
  <si>
    <t>14.0702</t>
  </si>
  <si>
    <t>14.0702 Chemical and Biomolecular Engineering.</t>
  </si>
  <si>
    <t>14.0799</t>
  </si>
  <si>
    <t>14.0799 Chemical Engineering, Other.</t>
  </si>
  <si>
    <t>14.08</t>
  </si>
  <si>
    <t>14.0801</t>
  </si>
  <si>
    <t>14.0801 Civil Engineering, General.</t>
  </si>
  <si>
    <t>14.0802</t>
  </si>
  <si>
    <t>14.0802 Geotechnical and Geoenvironmental Engineering.</t>
  </si>
  <si>
    <t>14.0803</t>
  </si>
  <si>
    <t>14.0803 Structural Engineering.</t>
  </si>
  <si>
    <t>14.0804</t>
  </si>
  <si>
    <t>14.0804 Transportation and Highway Engineering.</t>
  </si>
  <si>
    <t>14.0805</t>
  </si>
  <si>
    <t>14.0805 Water Resources Engineering.</t>
  </si>
  <si>
    <t>14.0899</t>
  </si>
  <si>
    <t>14.0899 Civil Engineering, Other.</t>
  </si>
  <si>
    <t>14.09</t>
  </si>
  <si>
    <t>14.0901</t>
  </si>
  <si>
    <t>14.0901 Computer Engineering, General.</t>
  </si>
  <si>
    <t>14.0902</t>
  </si>
  <si>
    <t>14.0902 Computer Hardware Engineering.</t>
  </si>
  <si>
    <t>14.0903</t>
  </si>
  <si>
    <t>14.0903 Computer Software Engineering.</t>
  </si>
  <si>
    <t>14.0999</t>
  </si>
  <si>
    <t>14.0999 Computer Engineering, Other.</t>
  </si>
  <si>
    <t>14.10</t>
  </si>
  <si>
    <t>14.1001</t>
  </si>
  <si>
    <t>14.1001 Electrical and Electronics Engineering.</t>
  </si>
  <si>
    <t>14.1003</t>
  </si>
  <si>
    <t>14.1003 Laser and Optical Engineering.</t>
  </si>
  <si>
    <t>14.1004</t>
  </si>
  <si>
    <t>14.1004 Telecommunications Engineering.</t>
  </si>
  <si>
    <t>14.1099</t>
  </si>
  <si>
    <t>14.1099 Electrical, Electronics, and Communications Engineering, Other.</t>
  </si>
  <si>
    <t>14.11</t>
  </si>
  <si>
    <t>14.1101</t>
  </si>
  <si>
    <t>14.1101 Engineering Mechanics.</t>
  </si>
  <si>
    <t>14.12</t>
  </si>
  <si>
    <t>14.1201</t>
  </si>
  <si>
    <t>14.1201 Engineering Physics/Applied Physics.</t>
  </si>
  <si>
    <t>14.13</t>
  </si>
  <si>
    <t>14.1301</t>
  </si>
  <si>
    <t>14.1301 Engineering Science.</t>
  </si>
  <si>
    <t>14.14</t>
  </si>
  <si>
    <t>14.1401</t>
  </si>
  <si>
    <t>14.1401 Environmental/Environmental Health Engineering.</t>
  </si>
  <si>
    <t>14.18</t>
  </si>
  <si>
    <t>14.1801</t>
  </si>
  <si>
    <t>14.1801 Materials Engineering.</t>
  </si>
  <si>
    <t>14.19</t>
  </si>
  <si>
    <t>14.1901</t>
  </si>
  <si>
    <t>14.1901 Mechanical Engineering.</t>
  </si>
  <si>
    <t>14.20</t>
  </si>
  <si>
    <t>14.2001</t>
  </si>
  <si>
    <t>14.2001 Metallurgical Engineering.</t>
  </si>
  <si>
    <t>14.21</t>
  </si>
  <si>
    <t>14.2101</t>
  </si>
  <si>
    <t>14.2101 Mining and Mineral Engineering.</t>
  </si>
  <si>
    <t>14.22</t>
  </si>
  <si>
    <t>14.2201</t>
  </si>
  <si>
    <t>14.2201 Naval Architecture and Marine Engineering.</t>
  </si>
  <si>
    <t>14.23</t>
  </si>
  <si>
    <t>14.2301</t>
  </si>
  <si>
    <t>14.2301 Nuclear Engineering.</t>
  </si>
  <si>
    <t>14.24</t>
  </si>
  <si>
    <t>14.2401</t>
  </si>
  <si>
    <t>14.2401 Ocean Engineering.</t>
  </si>
  <si>
    <t>14.25</t>
  </si>
  <si>
    <t>14.2501</t>
  </si>
  <si>
    <t>14.2501 Petroleum Engineering.</t>
  </si>
  <si>
    <t>14.27</t>
  </si>
  <si>
    <t>14.2701</t>
  </si>
  <si>
    <t>14.2701 Systems Engineering.</t>
  </si>
  <si>
    <t>14.28</t>
  </si>
  <si>
    <t>14.2801</t>
  </si>
  <si>
    <t>14.2801 Textile Sciences and Engineering.</t>
  </si>
  <si>
    <t>14.32</t>
  </si>
  <si>
    <t>14.3201</t>
  </si>
  <si>
    <t>14.3201 Polymer/Plastics Engineering.</t>
  </si>
  <si>
    <t>14.33</t>
  </si>
  <si>
    <t>14.3301</t>
  </si>
  <si>
    <t>14.3301 Construction Engineering.</t>
  </si>
  <si>
    <t>14.34</t>
  </si>
  <si>
    <t>14.3401</t>
  </si>
  <si>
    <t>14.3401 Forest Engineering.</t>
  </si>
  <si>
    <t>14.35</t>
  </si>
  <si>
    <t>14.3501</t>
  </si>
  <si>
    <t>14.3501 Industrial Engineering.</t>
  </si>
  <si>
    <t>14.36</t>
  </si>
  <si>
    <t>14.3601</t>
  </si>
  <si>
    <t>14.3601 Manufacturing Engineering.</t>
  </si>
  <si>
    <t>14.37</t>
  </si>
  <si>
    <t>14.3701</t>
  </si>
  <si>
    <t>14.3701 Operations Research.</t>
  </si>
  <si>
    <t>14.38</t>
  </si>
  <si>
    <t>14.3801</t>
  </si>
  <si>
    <t>14.3801 Surveying Engineering.</t>
  </si>
  <si>
    <t>14.39</t>
  </si>
  <si>
    <t>14.3901</t>
  </si>
  <si>
    <t>14.3901 Geological/Geophysical Engineering.</t>
  </si>
  <si>
    <t>14.40</t>
  </si>
  <si>
    <t>14.4001</t>
  </si>
  <si>
    <t>14.4001 Paper Science and Engineering.</t>
  </si>
  <si>
    <t>14.41</t>
  </si>
  <si>
    <t>14.4101</t>
  </si>
  <si>
    <t>14.4101 Electromechanical Engineering.</t>
  </si>
  <si>
    <t>14.42</t>
  </si>
  <si>
    <t>14.4201</t>
  </si>
  <si>
    <t>14.4201 Mechatronics, Robotics, and Automation Engineering.</t>
  </si>
  <si>
    <t>14.43</t>
  </si>
  <si>
    <t>14.4301</t>
  </si>
  <si>
    <t>14.4301 Biochemical Engineering.</t>
  </si>
  <si>
    <t>14.44</t>
  </si>
  <si>
    <t>14.4401</t>
  </si>
  <si>
    <t>14.4401 Engineering Chemistry.</t>
  </si>
  <si>
    <t>14.45</t>
  </si>
  <si>
    <t>14.4501</t>
  </si>
  <si>
    <t>14.4501 Biological/Biosystems Engineering.</t>
  </si>
  <si>
    <t>14.47</t>
  </si>
  <si>
    <t>14.4701</t>
  </si>
  <si>
    <t>14.4701 Electrical and Computer Engineering.</t>
  </si>
  <si>
    <t>14.48</t>
  </si>
  <si>
    <t>14.4801</t>
  </si>
  <si>
    <t>14.4801 Energy Systems Engineering, General.</t>
  </si>
  <si>
    <t>14.4802</t>
  </si>
  <si>
    <t>14.4802 Power Plant Engineering.</t>
  </si>
  <si>
    <t>14.4899</t>
  </si>
  <si>
    <t>14.4899 Energy Systems Engineering, Other.</t>
  </si>
  <si>
    <t>14.99</t>
  </si>
  <si>
    <t>14.9999</t>
  </si>
  <si>
    <t>14.9999 Engineering, Other.</t>
  </si>
  <si>
    <t>15.00</t>
  </si>
  <si>
    <t>15</t>
  </si>
  <si>
    <t>15.0000</t>
  </si>
  <si>
    <t>15.0000 Engineering Technologies/Technicians, General.</t>
  </si>
  <si>
    <t>15.0001</t>
  </si>
  <si>
    <t>15.0001 Applied Engineering Technologies/Technicians.</t>
  </si>
  <si>
    <t>15.01</t>
  </si>
  <si>
    <t>15.0101</t>
  </si>
  <si>
    <t>15.0101 Architectural Engineering Technologies/Technicians.</t>
  </si>
  <si>
    <t>15.02</t>
  </si>
  <si>
    <t>15.0201</t>
  </si>
  <si>
    <t>15.0201 Civil Engineering Technologies/Technicians.</t>
  </si>
  <si>
    <t>15.03</t>
  </si>
  <si>
    <t>15.0303</t>
  </si>
  <si>
    <t>15.0303 Electrical, Electronic, and Communications Engineering Technology/Technician.</t>
  </si>
  <si>
    <t>15.0304</t>
  </si>
  <si>
    <t>15.0304 Laser and Optical Technology/Technician.</t>
  </si>
  <si>
    <t>15.0305</t>
  </si>
  <si>
    <t>15.0305 Telecommunications Technology/Technician.</t>
  </si>
  <si>
    <t>15.0306</t>
  </si>
  <si>
    <t>15.0306 Integrated Circuit Design Technology/Technician.</t>
  </si>
  <si>
    <t>15.0307</t>
  </si>
  <si>
    <t>15.0307 Audio Engineering Technology/Technician.</t>
  </si>
  <si>
    <t>15.0399</t>
  </si>
  <si>
    <t>15.0399 Electrical/Electronic Engineering Technologies/Technicians, Other.</t>
  </si>
  <si>
    <t>15.04</t>
  </si>
  <si>
    <t>15.0401</t>
  </si>
  <si>
    <t>15.0401 Biomedical Technology/Technician.</t>
  </si>
  <si>
    <t>15.0403</t>
  </si>
  <si>
    <t>15.0403 Electromechanical/Electromechanical Engineering Technology/Technician.</t>
  </si>
  <si>
    <t>15.0404</t>
  </si>
  <si>
    <t>15.0404 Instrumentation Technology/Technician.</t>
  </si>
  <si>
    <t>15.0405</t>
  </si>
  <si>
    <t>15.0405 Robotics Technology/Technician.</t>
  </si>
  <si>
    <t>15.0406</t>
  </si>
  <si>
    <t>15.0406 Automation Engineer Technology/Technician.</t>
  </si>
  <si>
    <t>15.0407</t>
  </si>
  <si>
    <t>15.0407 Mechatronics, Robotics, and Automation Engineering Technology/Technician.</t>
  </si>
  <si>
    <t>15.0499</t>
  </si>
  <si>
    <t>15.0499 Electromechanical Technologies/Technicians, Other.</t>
  </si>
  <si>
    <t>15.05</t>
  </si>
  <si>
    <t>15.0501</t>
  </si>
  <si>
    <t>15.0501 Heating, Ventilation, Air Conditioning and Refrigeration Engineering Technology/Technician.</t>
  </si>
  <si>
    <t>15.0503</t>
  </si>
  <si>
    <t>15.0503 Energy Management and Systems Technology/Technician.</t>
  </si>
  <si>
    <t>15.0505</t>
  </si>
  <si>
    <t>15.0505 Solar Energy Technology/Technician.</t>
  </si>
  <si>
    <t>15.0506</t>
  </si>
  <si>
    <t>15.0506 Water Quality and Wastewater Treatment Management and Recycling Technology/Technician.</t>
  </si>
  <si>
    <t>15.0507</t>
  </si>
  <si>
    <t>15.0507 Environmental/Environmental Engineering Technology/Technician.</t>
  </si>
  <si>
    <t>15.0508</t>
  </si>
  <si>
    <t>15.0508 Hazardous Materials Management and Waste Technology/Technician.</t>
  </si>
  <si>
    <t>15.0599</t>
  </si>
  <si>
    <t>15.0599 Environmental Control Technologies/Technicians, Other.</t>
  </si>
  <si>
    <t>15.06</t>
  </si>
  <si>
    <t>15.0607</t>
  </si>
  <si>
    <t>15.0607 Plastics and Polymer Engineering Technology/Technician.</t>
  </si>
  <si>
    <t>15.0611</t>
  </si>
  <si>
    <t>15.0611 Metallurgical Technology/Technician.</t>
  </si>
  <si>
    <t>15.0612</t>
  </si>
  <si>
    <t>15.0612 Industrial Technology/Technician.</t>
  </si>
  <si>
    <t>15.0613</t>
  </si>
  <si>
    <t>15.0613 Manufacturing Engineering Technology/Technician.</t>
  </si>
  <si>
    <t>15.0614</t>
  </si>
  <si>
    <t>15.0614 Welding Engineering Technology/Technician.</t>
  </si>
  <si>
    <t>15.0615</t>
  </si>
  <si>
    <t>15.0615 Chemical Engineering Technology/Technician.</t>
  </si>
  <si>
    <t>15.0616</t>
  </si>
  <si>
    <t>15.0616 Semiconductor Manufacturing Technology/Technician.</t>
  </si>
  <si>
    <t>15.0617</t>
  </si>
  <si>
    <t>15.0617 Composite Materials Technology/Technician.</t>
  </si>
  <si>
    <t>15.0699</t>
  </si>
  <si>
    <t>15.0699 Industrial Production Technologies/Technicians, Other.</t>
  </si>
  <si>
    <t>15.07</t>
  </si>
  <si>
    <t>15.0701</t>
  </si>
  <si>
    <t>15.0701 Occupational Safety and Health Technology/Technician.</t>
  </si>
  <si>
    <t>15.0702</t>
  </si>
  <si>
    <t>15.0702 Quality Control Technology/Technician.</t>
  </si>
  <si>
    <t>15.0703</t>
  </si>
  <si>
    <t>15.0703 Industrial Safety Technology/Technician.</t>
  </si>
  <si>
    <t>15.0704</t>
  </si>
  <si>
    <t>15.0704 Hazardous Materials Information Systems Technology/Technician.</t>
  </si>
  <si>
    <t>15.0705</t>
  </si>
  <si>
    <t>15.0705 Process Safety Technology/Technician.</t>
  </si>
  <si>
    <t>15.0799</t>
  </si>
  <si>
    <t>15.0799 Quality Control and Safety Technologies/Technicians, Other.</t>
  </si>
  <si>
    <t>15.08</t>
  </si>
  <si>
    <t>15.0801</t>
  </si>
  <si>
    <t>15.0801 Aeronautical/Aerospace Engineering Technology/Technician.</t>
  </si>
  <si>
    <t>15.0803</t>
  </si>
  <si>
    <t>15.0803 Automotive Engineering Technology/Technician.</t>
  </si>
  <si>
    <t>15.0805</t>
  </si>
  <si>
    <t>15.0805 Mechanical/Mechanical Engineering Technology/Technician.</t>
  </si>
  <si>
    <t>15.0806</t>
  </si>
  <si>
    <t>15.0806 Marine Engineering Technology/Technician.</t>
  </si>
  <si>
    <t>15.0807</t>
  </si>
  <si>
    <t>15.0807 Motorsports Engineering Technology/Technician.</t>
  </si>
  <si>
    <t>15.0899</t>
  </si>
  <si>
    <t>15.0899 Mechanical Engineering Related Technologies/Technicians, Other.</t>
  </si>
  <si>
    <t>15.09</t>
  </si>
  <si>
    <t>15.0901</t>
  </si>
  <si>
    <t>15.0901 Mining Technology/Technician.</t>
  </si>
  <si>
    <t>15.0903</t>
  </si>
  <si>
    <t>15.0903 Petroleum Technology/Technician.</t>
  </si>
  <si>
    <t>15.0999</t>
  </si>
  <si>
    <t>15.0999 Mining and Petroleum Technologies/Technicians, Other.</t>
  </si>
  <si>
    <t>15.10</t>
  </si>
  <si>
    <t>15.1001</t>
  </si>
  <si>
    <t>15.1001 Construction Engineering Technology/Technician.</t>
  </si>
  <si>
    <t>15.11</t>
  </si>
  <si>
    <t>15.1102</t>
  </si>
  <si>
    <t>15.1102 Surveying Technology/Surveying.</t>
  </si>
  <si>
    <t>15.1103</t>
  </si>
  <si>
    <t>15.1103 Hydraulics and Fluid Power Technology/Technician.</t>
  </si>
  <si>
    <t>15.1199</t>
  </si>
  <si>
    <t>15.1199 Engineering-Related Technologies/Technicians, Other.</t>
  </si>
  <si>
    <t>15.12</t>
  </si>
  <si>
    <t>15.1201</t>
  </si>
  <si>
    <t>15.1201 Computer Engineering Technology/Technician.</t>
  </si>
  <si>
    <t>15.1202</t>
  </si>
  <si>
    <t>15.1202 Computer/Computer Systems Technology/Technician.</t>
  </si>
  <si>
    <t>15.1203</t>
  </si>
  <si>
    <t>15.1203 Computer Hardware Technology/Technician.</t>
  </si>
  <si>
    <t>15.1204</t>
  </si>
  <si>
    <t>15.1204 Computer Software Technology/Technician.</t>
  </si>
  <si>
    <t>15.1299</t>
  </si>
  <si>
    <t>15.1299 Computer Engineering Technologies/Technicians, Other.</t>
  </si>
  <si>
    <t>15.13</t>
  </si>
  <si>
    <t>15.1301</t>
  </si>
  <si>
    <t>15.1301 Drafting and Design Technology/Technician, General.</t>
  </si>
  <si>
    <t>15.1302</t>
  </si>
  <si>
    <t>15.1302 CAD/CADD Drafting and/or Design Technology/Technician.</t>
  </si>
  <si>
    <t>15.1303</t>
  </si>
  <si>
    <t>15.1303 Architectural Drafting and Architectural CAD/CADD.</t>
  </si>
  <si>
    <t>15.1304</t>
  </si>
  <si>
    <t>15.1304 Civil Drafting and Civil Engineering CAD/CADD.</t>
  </si>
  <si>
    <t>15.1305</t>
  </si>
  <si>
    <t>15.1305 Electrical/Electronics Drafting and Electrical/Electronics CAD/CADD.</t>
  </si>
  <si>
    <t>15.1306</t>
  </si>
  <si>
    <t>15.1306 Mechanical Drafting and Mechanical Drafting CAD/CADD.</t>
  </si>
  <si>
    <t>15.1307</t>
  </si>
  <si>
    <t>15.1307 3-D Modeling and Design Technology/Technician.</t>
  </si>
  <si>
    <t>15.1399</t>
  </si>
  <si>
    <t>15.1399 Drafting/Design Engineering Technologies/Technicians, Other.</t>
  </si>
  <si>
    <t>15.14</t>
  </si>
  <si>
    <t>15.1401</t>
  </si>
  <si>
    <t>15.1401 Nuclear Engineering Technology/Technician.</t>
  </si>
  <si>
    <t>15.15</t>
  </si>
  <si>
    <t>15.1501</t>
  </si>
  <si>
    <t>15.1501 Engineering/Industrial Management.</t>
  </si>
  <si>
    <t>15.1502</t>
  </si>
  <si>
    <t>15.1502 Engineering Design.</t>
  </si>
  <si>
    <t>15.1503</t>
  </si>
  <si>
    <t>15.1503 Packaging Science.</t>
  </si>
  <si>
    <t>15.1599</t>
  </si>
  <si>
    <t>15.1599 Engineering-Related Fields, Other.</t>
  </si>
  <si>
    <t>15.16</t>
  </si>
  <si>
    <t>15.1601</t>
  </si>
  <si>
    <t>15.1601 Nanotechnology.</t>
  </si>
  <si>
    <t>15.17</t>
  </si>
  <si>
    <t>15.1701</t>
  </si>
  <si>
    <t>15.1701 Energy Systems Technology/Technician.</t>
  </si>
  <si>
    <t>15.1702</t>
  </si>
  <si>
    <t>15.1702 Power Plant Technology/Technician.</t>
  </si>
  <si>
    <t>15.1703</t>
  </si>
  <si>
    <t>15.1703 Solar Energy Technology/Technician.</t>
  </si>
  <si>
    <t>15.1704</t>
  </si>
  <si>
    <t>15.1704 Wind Energy Technology/Technician.</t>
  </si>
  <si>
    <t>15.1705</t>
  </si>
  <si>
    <t>15.1705 Hydroelectric Energy Technology/Technician.</t>
  </si>
  <si>
    <t>15.1706</t>
  </si>
  <si>
    <t>15.1706 Geothermal Energy Technology/Technician.</t>
  </si>
  <si>
    <t>15.1799</t>
  </si>
  <si>
    <t>15.1799 Energy Systems Technologies/Technicians, Other.</t>
  </si>
  <si>
    <t>15.99</t>
  </si>
  <si>
    <t>15.9999</t>
  </si>
  <si>
    <t>15.9999 Engineering/Engineering-Related Technologies/Technicians, Other.</t>
  </si>
  <si>
    <t>16</t>
  </si>
  <si>
    <t>16.01</t>
  </si>
  <si>
    <t>16.0101</t>
  </si>
  <si>
    <t>16.0101 Foreign Languages and Literatures, General.</t>
  </si>
  <si>
    <t>16.0102</t>
  </si>
  <si>
    <t>16.0102 Linguistics.</t>
  </si>
  <si>
    <t>16.0103</t>
  </si>
  <si>
    <t>16.0103 Language Interpretation and Translation.</t>
  </si>
  <si>
    <t>16.0104</t>
  </si>
  <si>
    <t>16.0104 Comparative Literature.</t>
  </si>
  <si>
    <t>16.0105</t>
  </si>
  <si>
    <t>16.0105 Applied Linguistics.</t>
  </si>
  <si>
    <t>16.0199</t>
  </si>
  <si>
    <t>16.0199 Linguistic, Comparative, and Related Language Studies and Services, Other.</t>
  </si>
  <si>
    <t>16.02</t>
  </si>
  <si>
    <t>16.0201</t>
  </si>
  <si>
    <t>16.0201 African Languages, Literatures, and Linguistics.</t>
  </si>
  <si>
    <t>16.0300</t>
  </si>
  <si>
    <t>16.0300 East Asian Languages, Literatures, and Linguistics, General.</t>
  </si>
  <si>
    <t>16.03</t>
  </si>
  <si>
    <t>16.0301</t>
  </si>
  <si>
    <t>16.0301 Chinese Language and Literature.</t>
  </si>
  <si>
    <t>16.0302</t>
  </si>
  <si>
    <t>16.0302 Japanese Language and Literature.</t>
  </si>
  <si>
    <t>16.0303</t>
  </si>
  <si>
    <t>16.0303 Korean Language and Literature.</t>
  </si>
  <si>
    <t>16.0304</t>
  </si>
  <si>
    <t>16.0304 Tibetan Language and Literature.</t>
  </si>
  <si>
    <t>16.0399</t>
  </si>
  <si>
    <t>16.0399 East Asian Languages, Literatures, and Linguistics, Other.</t>
  </si>
  <si>
    <t>16.0400</t>
  </si>
  <si>
    <t>16.0400 Slavic Languages, Literatures, and Linguistics, General.</t>
  </si>
  <si>
    <t>16.04</t>
  </si>
  <si>
    <t>16.0401</t>
  </si>
  <si>
    <t>16.0401 Baltic Languages, Literatures, and Linguistics.</t>
  </si>
  <si>
    <t>16.0402</t>
  </si>
  <si>
    <t>16.0402 Russian Language and Literature.</t>
  </si>
  <si>
    <t>16.0404</t>
  </si>
  <si>
    <t>16.0404 Albanian Language and Literature.</t>
  </si>
  <si>
    <t>16.0405</t>
  </si>
  <si>
    <t>16.0405 Bulgarian Language and Literature.</t>
  </si>
  <si>
    <t>16.0406</t>
  </si>
  <si>
    <t>16.0406 Czech Language and Literature.</t>
  </si>
  <si>
    <t>16.0407</t>
  </si>
  <si>
    <t>16.0407 Polish Language and Literature.</t>
  </si>
  <si>
    <t>16.0408</t>
  </si>
  <si>
    <t>16.0408 Bosnian, Serbian, and Croatian Languages and Literatures.</t>
  </si>
  <si>
    <t>16.0409</t>
  </si>
  <si>
    <t>16.0409 Slovak Language and Literature.</t>
  </si>
  <si>
    <t>16.0410</t>
  </si>
  <si>
    <t>16.0410 Ukrainian Language and Literature.</t>
  </si>
  <si>
    <t>16.0499</t>
  </si>
  <si>
    <t>16.0499 Slavic, Baltic, and Albanian Languages, Literatures, and Linguistics, Other.</t>
  </si>
  <si>
    <t>16.0500</t>
  </si>
  <si>
    <t>16.0500 Germanic Languages, Literatures, and Linguistics, General.</t>
  </si>
  <si>
    <t>16.05</t>
  </si>
  <si>
    <t>16.0501</t>
  </si>
  <si>
    <t>16.0501 German Language and Literature.</t>
  </si>
  <si>
    <t>16.0502</t>
  </si>
  <si>
    <t>16.0502 Scandinavian Languages, Literatures, and Linguistics.</t>
  </si>
  <si>
    <t>16.0503</t>
  </si>
  <si>
    <t>16.0503 Danish Language and Literature.</t>
  </si>
  <si>
    <t>16.0504</t>
  </si>
  <si>
    <t>16.0504 Dutch/Flemish Language and Literature.</t>
  </si>
  <si>
    <t>16.0505</t>
  </si>
  <si>
    <t>16.0505 Norwegian Language and Literature.</t>
  </si>
  <si>
    <t>16.0506</t>
  </si>
  <si>
    <t>16.0506 Swedish Language and Literature.</t>
  </si>
  <si>
    <t>16.0599</t>
  </si>
  <si>
    <t>16.0599 Germanic Languages, Literatures, and Linguistics, Other.</t>
  </si>
  <si>
    <t>16.06</t>
  </si>
  <si>
    <t>16.0601</t>
  </si>
  <si>
    <t>16.0601 Modern Greek Language and Literature.</t>
  </si>
  <si>
    <t>16.0700</t>
  </si>
  <si>
    <t>16.0700 South Asian Languages, Literatures, and Linguistics, General.</t>
  </si>
  <si>
    <t>16.07</t>
  </si>
  <si>
    <t>16.0701</t>
  </si>
  <si>
    <t>16.0701 Hindi Language and Literature.</t>
  </si>
  <si>
    <t>16.0702</t>
  </si>
  <si>
    <t>16.0702 Sanskrit and Classical Indian Languages, Literatures, and Linguistics.</t>
  </si>
  <si>
    <t>16.0704</t>
  </si>
  <si>
    <t>16.0704 Bengali Language and Literature.</t>
  </si>
  <si>
    <t>16.0705</t>
  </si>
  <si>
    <t>16.0705 Punjabi Language and Literature.</t>
  </si>
  <si>
    <t>16.0706</t>
  </si>
  <si>
    <t>16.0706 Tamil Language and Literature.</t>
  </si>
  <si>
    <t>16.0707</t>
  </si>
  <si>
    <t>16.0707 Urdu Language and Literature.</t>
  </si>
  <si>
    <t>16.0799</t>
  </si>
  <si>
    <t>16.0799 South Asian Languages, Literatures, and Linguistics, Other.</t>
  </si>
  <si>
    <t>16.08</t>
  </si>
  <si>
    <t>16.0801</t>
  </si>
  <si>
    <t>16.0801 Iranian Languages, Literatures, and Linguistics.</t>
  </si>
  <si>
    <t>16.0900</t>
  </si>
  <si>
    <t>16.0900 Romance Languages, Literatures, and Linguistics, General.</t>
  </si>
  <si>
    <t>16.09</t>
  </si>
  <si>
    <t>16.0901</t>
  </si>
  <si>
    <t>16.0901 French Language and Literature.</t>
  </si>
  <si>
    <t>16.0902</t>
  </si>
  <si>
    <t>16.0902 Italian Language and Literature.</t>
  </si>
  <si>
    <t>16.0904</t>
  </si>
  <si>
    <t>16.0904 Portuguese Language and Literature.</t>
  </si>
  <si>
    <t>16.0905</t>
  </si>
  <si>
    <t>16.0905 Spanish Language and Literature.</t>
  </si>
  <si>
    <t>16.0906</t>
  </si>
  <si>
    <t>16.0906 Romanian Language and Literature.</t>
  </si>
  <si>
    <t>16.0907</t>
  </si>
  <si>
    <t>16.0907 Catalan Language and Literature.</t>
  </si>
  <si>
    <t>16.0908</t>
  </si>
  <si>
    <t>16.0908 Hispanic and Latin American Languages, Literatures, and Linguistics, General.</t>
  </si>
  <si>
    <t>16.0999</t>
  </si>
  <si>
    <t>16.0999 Romance Languages, Literatures, and Linguistics, Other.</t>
  </si>
  <si>
    <t>16.10</t>
  </si>
  <si>
    <t>16.1001</t>
  </si>
  <si>
    <t>16.1001 American Indian/Native American Languages, Literatures, and Linguistics.</t>
  </si>
  <si>
    <t>16.1100</t>
  </si>
  <si>
    <t>16.1100 Middle/Near Eastern and Semitic Languages, Literatures, and Linguistics, General.</t>
  </si>
  <si>
    <t>16.11</t>
  </si>
  <si>
    <t>16.1101</t>
  </si>
  <si>
    <t>16.1101 Arabic Language and Literature.</t>
  </si>
  <si>
    <t>16.1102</t>
  </si>
  <si>
    <t>16.1102 Hebrew Language and Literature.</t>
  </si>
  <si>
    <t>16.1103</t>
  </si>
  <si>
    <t>16.1103 Ancient Near Eastern and Biblical Languages, Literatures, and Linguistics.</t>
  </si>
  <si>
    <t>16.1199</t>
  </si>
  <si>
    <t>16.1199 Middle/Near Eastern and Semitic Languages, Literatures, and Linguistics, Other.</t>
  </si>
  <si>
    <t>16.1200</t>
  </si>
  <si>
    <t>16.1200 Classics and Classical Languages, Literatures, and Linguistics, General.</t>
  </si>
  <si>
    <t>16.12</t>
  </si>
  <si>
    <t>16.1202</t>
  </si>
  <si>
    <t>16.1202 Ancient/Classical Greek Language and Literature.</t>
  </si>
  <si>
    <t>16.1203</t>
  </si>
  <si>
    <t>16.1203 Latin Language and Literature.</t>
  </si>
  <si>
    <t>16.1299</t>
  </si>
  <si>
    <t>16.1299 Classics and Classical Languages, Literatures, and Linguistics, Other.</t>
  </si>
  <si>
    <t>16.13</t>
  </si>
  <si>
    <t>16.1301</t>
  </si>
  <si>
    <t>16.1301 Celtic Languages, Literatures, and Linguistics.</t>
  </si>
  <si>
    <t>16.14</t>
  </si>
  <si>
    <t>16.1400</t>
  </si>
  <si>
    <t>16.1400 Southeast Asian Languages, Literatures, and Linguistics, General.</t>
  </si>
  <si>
    <t>16.1401</t>
  </si>
  <si>
    <t>16.1401 Australian/Oceanic/Pacific Languages, Literatures, and Linguistics.</t>
  </si>
  <si>
    <t>16.1402</t>
  </si>
  <si>
    <t>16.1402 Indonesian/Malay Languages and Literatures.</t>
  </si>
  <si>
    <t>16.1403</t>
  </si>
  <si>
    <t>16.1403 Burmese Language and Literature.</t>
  </si>
  <si>
    <t>16.1404</t>
  </si>
  <si>
    <t>16.1404 Filipino/Tagalog Language and Literature.</t>
  </si>
  <si>
    <t>16.1405</t>
  </si>
  <si>
    <t>16.1405 Khmer/Cambodian Language and Literature.</t>
  </si>
  <si>
    <t>16.1406</t>
  </si>
  <si>
    <t>16.1406 Lao Language and Literature.</t>
  </si>
  <si>
    <t>16.1407</t>
  </si>
  <si>
    <t>16.1407 Thai Language and Literature.</t>
  </si>
  <si>
    <t>16.1408</t>
  </si>
  <si>
    <t>16.1408 Vietnamese Language and Literature.</t>
  </si>
  <si>
    <t>16.1409</t>
  </si>
  <si>
    <t>16.1409 Hawaiian Language and Literature.</t>
  </si>
  <si>
    <t>16.1499</t>
  </si>
  <si>
    <t>16.1499 Southeast Asian and Australasian/Pacific Languages, Literatures, and Linguistics, Other.</t>
  </si>
  <si>
    <t>16.15</t>
  </si>
  <si>
    <t>16.1501</t>
  </si>
  <si>
    <t>16.1501 Turkish Language and Literature.</t>
  </si>
  <si>
    <t>16.1502</t>
  </si>
  <si>
    <t>16.1502 Uralic Languages, Literatures, and Linguistics.</t>
  </si>
  <si>
    <t>16.1503</t>
  </si>
  <si>
    <t>16.1503 Hungarian/Magyar Language and Literature.</t>
  </si>
  <si>
    <t>16.1504</t>
  </si>
  <si>
    <t>16.1504 Mongolian Language and Literature.</t>
  </si>
  <si>
    <t>16.1599</t>
  </si>
  <si>
    <t>16.1599 Turkic, Uralic-Altaic, Caucasian, and Central Asian Languages, Literatures, and Linguistics, Other.</t>
  </si>
  <si>
    <t>16.16</t>
  </si>
  <si>
    <t>16.1601</t>
  </si>
  <si>
    <t>16.1601 American Sign Language (ASL).</t>
  </si>
  <si>
    <t>16.1602</t>
  </si>
  <si>
    <t>16.1602 Linguistics of ASL and Other Sign Languages.</t>
  </si>
  <si>
    <t>16.1603</t>
  </si>
  <si>
    <t>16.1603 Sign Language Interpretation and Translation.</t>
  </si>
  <si>
    <t>16.1699</t>
  </si>
  <si>
    <t>16.1699 American Sign Language, Other.</t>
  </si>
  <si>
    <t>16.17</t>
  </si>
  <si>
    <t>16.1701</t>
  </si>
  <si>
    <t>16.1701 English as a Second Language.</t>
  </si>
  <si>
    <t>16.1702</t>
  </si>
  <si>
    <t>16.1702 Reserved.</t>
  </si>
  <si>
    <t>16.1799</t>
  </si>
  <si>
    <t>16.1799 Reserved.</t>
  </si>
  <si>
    <t>16.18</t>
  </si>
  <si>
    <t>16.1801</t>
  </si>
  <si>
    <t>16.1801 Armenian Language and Literature.</t>
  </si>
  <si>
    <t>16.99</t>
  </si>
  <si>
    <t>16.9999</t>
  </si>
  <si>
    <t>16.9999 Foreign Languages, Literatures, and Linguistics, Other.</t>
  </si>
  <si>
    <t>19</t>
  </si>
  <si>
    <t>19.00</t>
  </si>
  <si>
    <t>19.0000</t>
  </si>
  <si>
    <t>19.0000 Work and Family Studies.</t>
  </si>
  <si>
    <t>19.01</t>
  </si>
  <si>
    <t>19.0101</t>
  </si>
  <si>
    <t>19.0101 Family and Consumer Sciences/Human Sciences, General.</t>
  </si>
  <si>
    <t>19.02</t>
  </si>
  <si>
    <t>19.0201</t>
  </si>
  <si>
    <t>19.0201 Business Family and Consumer Sciences/Human Sciences.</t>
  </si>
  <si>
    <t>19.0202</t>
  </si>
  <si>
    <t>19.0202 Family and Consumer Sciences/Human Sciences Communication.</t>
  </si>
  <si>
    <t>19.0203</t>
  </si>
  <si>
    <t>19.0203 Consumer Merchandising/Retailing Management.</t>
  </si>
  <si>
    <t>19.0299</t>
  </si>
  <si>
    <t>19.0299 Family and Consumer Sciences/Human Sciences Business Services, Other.</t>
  </si>
  <si>
    <t>19.04</t>
  </si>
  <si>
    <t>19.0401</t>
  </si>
  <si>
    <t>19.0401 Family Resource Management Studies, General.</t>
  </si>
  <si>
    <t>19.0402</t>
  </si>
  <si>
    <t>19.0402 Consumer Economics.</t>
  </si>
  <si>
    <t>19.0403</t>
  </si>
  <si>
    <t>19.0403 Consumer Services and Advocacy.</t>
  </si>
  <si>
    <t>19.0499</t>
  </si>
  <si>
    <t>19.0499 Family and Consumer Economics and Related Services, Other.</t>
  </si>
  <si>
    <t>19.05</t>
  </si>
  <si>
    <t>19.0501</t>
  </si>
  <si>
    <t>19.0501 Foods, Nutrition, and Wellness Studies, General.</t>
  </si>
  <si>
    <t>19.0504</t>
  </si>
  <si>
    <t>19.0504 Human Nutrition.</t>
  </si>
  <si>
    <t>19.0505</t>
  </si>
  <si>
    <t>19.0505 Foodservice Systems Administration/Management.</t>
  </si>
  <si>
    <t>19.0599</t>
  </si>
  <si>
    <t>19.0599 Foods, Nutrition, and Related Services, Other.</t>
  </si>
  <si>
    <t>19.06</t>
  </si>
  <si>
    <t>19.0601</t>
  </si>
  <si>
    <t>19.0601 Housing and Human Environments, General.</t>
  </si>
  <si>
    <t>19.0604</t>
  </si>
  <si>
    <t>19.0604 Facilities Planning and Management.</t>
  </si>
  <si>
    <t>19.0605</t>
  </si>
  <si>
    <t>19.0605 Home Furnishings and Equipment Installers.</t>
  </si>
  <si>
    <t>19.0699</t>
  </si>
  <si>
    <t>19.0699 Housing and Human Environments, Other.</t>
  </si>
  <si>
    <t>19.07</t>
  </si>
  <si>
    <t>19.0701</t>
  </si>
  <si>
    <t>19.0701 Human Development and Family Studies, General.</t>
  </si>
  <si>
    <t>19.0702</t>
  </si>
  <si>
    <t>19.0702 Adult Development and Aging.</t>
  </si>
  <si>
    <t>19.0704</t>
  </si>
  <si>
    <t>19.0704 Family Systems.</t>
  </si>
  <si>
    <t>19.0706</t>
  </si>
  <si>
    <t>19.0706 Child Development.</t>
  </si>
  <si>
    <t>19.0707</t>
  </si>
  <si>
    <t>19.0707 Family and Community Services.</t>
  </si>
  <si>
    <t>19.0708</t>
  </si>
  <si>
    <t>19.0708 Child Care and Support Services Management.</t>
  </si>
  <si>
    <t>19.0709</t>
  </si>
  <si>
    <t>19.0709 Child Care Provider/Assistant.</t>
  </si>
  <si>
    <t>19.0710</t>
  </si>
  <si>
    <t>19.0710 Developmental Services Worker.</t>
  </si>
  <si>
    <t>19.0711</t>
  </si>
  <si>
    <t>19.0711 Early Childhood and Family Studies.</t>
  </si>
  <si>
    <t>19.0712</t>
  </si>
  <si>
    <t>19.0712 Parent Education Services.</t>
  </si>
  <si>
    <t>19.0799</t>
  </si>
  <si>
    <t>19.0799 Human Development, Family Studies, and Related Services, Other.</t>
  </si>
  <si>
    <t>19.09</t>
  </si>
  <si>
    <t>19.0901</t>
  </si>
  <si>
    <t>19.0901 Apparel and Textiles, General.</t>
  </si>
  <si>
    <t>19.0902</t>
  </si>
  <si>
    <t>19.0902 Apparel and Textile Manufacture.</t>
  </si>
  <si>
    <t>19.0904</t>
  </si>
  <si>
    <t>19.0904 Textile Science.</t>
  </si>
  <si>
    <t>19.0905</t>
  </si>
  <si>
    <t>19.0905 Apparel and Textile Marketing Management.</t>
  </si>
  <si>
    <t>19.0906</t>
  </si>
  <si>
    <t>19.0906 Fashion and Fabric Consultant.</t>
  </si>
  <si>
    <t>19.0999</t>
  </si>
  <si>
    <t>19.0999 Apparel and Textiles, Other.</t>
  </si>
  <si>
    <t>19.10</t>
  </si>
  <si>
    <t>19.1001</t>
  </si>
  <si>
    <t>19.1001 Work and Family Studies.</t>
  </si>
  <si>
    <t>19.99</t>
  </si>
  <si>
    <t>19.9999</t>
  </si>
  <si>
    <t>19.9999 Family and Consumer Sciences/Human Sciences, Other.</t>
  </si>
  <si>
    <t>21</t>
  </si>
  <si>
    <t>21.01</t>
  </si>
  <si>
    <t>21.01 Reserved.</t>
  </si>
  <si>
    <t>21.0101</t>
  </si>
  <si>
    <t>21.0101 Reserved.</t>
  </si>
  <si>
    <t>22</t>
  </si>
  <si>
    <t>22.0000</t>
  </si>
  <si>
    <t>22.0000 Legal Studies.</t>
  </si>
  <si>
    <t>22.00</t>
  </si>
  <si>
    <t>22.0001</t>
  </si>
  <si>
    <t>22.0001 Pre-Law Studies.</t>
  </si>
  <si>
    <t>22.0099</t>
  </si>
  <si>
    <t>22.0099 Non-Professional Legal Studies, Other.</t>
  </si>
  <si>
    <t>22.01</t>
  </si>
  <si>
    <t>22.0101</t>
  </si>
  <si>
    <t>22.0101 Law.</t>
  </si>
  <si>
    <t>22.02</t>
  </si>
  <si>
    <t>22.0201</t>
  </si>
  <si>
    <t>22.0201 Advanced Legal Research/Studies, General.</t>
  </si>
  <si>
    <t>22.0202</t>
  </si>
  <si>
    <t>22.0202 Programs for Foreign Lawyers.</t>
  </si>
  <si>
    <t>22.0203</t>
  </si>
  <si>
    <t>22.0203 American/U.S. Law/Legal Studies/Jurisprudence.</t>
  </si>
  <si>
    <t>22.0204</t>
  </si>
  <si>
    <t>22.0204 Canadian Law/Legal Studies/Jurisprudence.</t>
  </si>
  <si>
    <t>22.0205</t>
  </si>
  <si>
    <t>22.0205 Banking, Corporate, Finance, and Securities Law.</t>
  </si>
  <si>
    <t>22.0206</t>
  </si>
  <si>
    <t>22.0206 Comparative Law.</t>
  </si>
  <si>
    <t>22.0207</t>
  </si>
  <si>
    <t>22.0207 Energy, Environment, and Natural Resources Law.</t>
  </si>
  <si>
    <t>22.0208</t>
  </si>
  <si>
    <t>22.0208 Health Law.</t>
  </si>
  <si>
    <t>22.0209</t>
  </si>
  <si>
    <t>22.0209 International Law and Legal Studies.</t>
  </si>
  <si>
    <t>22.0210</t>
  </si>
  <si>
    <t>22.0210 International Business, Trade, and Tax Law.</t>
  </si>
  <si>
    <t>22.0211</t>
  </si>
  <si>
    <t>22.0211 Tax Law/Taxation.</t>
  </si>
  <si>
    <t>22.0212</t>
  </si>
  <si>
    <t>22.0212 Intellectual Property Law.</t>
  </si>
  <si>
    <t>22.0213</t>
  </si>
  <si>
    <t>22.0213 Patent Law.</t>
  </si>
  <si>
    <t>22.0214</t>
  </si>
  <si>
    <t>22.0214 Agriculture Law.</t>
  </si>
  <si>
    <t>22.0215</t>
  </si>
  <si>
    <t>22.0215 Arts and Entertainment Law.</t>
  </si>
  <si>
    <t>22.0216</t>
  </si>
  <si>
    <t>22.0216 Compliance Law.</t>
  </si>
  <si>
    <t>22.0217</t>
  </si>
  <si>
    <t>22.0217 Criminal Law and Procedure.</t>
  </si>
  <si>
    <t>22.0218</t>
  </si>
  <si>
    <t>22.0218 Entrepreneurship Law.</t>
  </si>
  <si>
    <t>22.0219</t>
  </si>
  <si>
    <t>22.0219 Family/Child/Elder Law.</t>
  </si>
  <si>
    <t>22.0220</t>
  </si>
  <si>
    <t>22.0220 Human Resources Law.</t>
  </si>
  <si>
    <t>22.0221</t>
  </si>
  <si>
    <t>22.0221 Insurance Law.</t>
  </si>
  <si>
    <t>22.0222</t>
  </si>
  <si>
    <t>22.0222 Real Estate and Land Development Law.</t>
  </si>
  <si>
    <t>22.0223</t>
  </si>
  <si>
    <t>22.0223 Transportation Law.</t>
  </si>
  <si>
    <t>22.0224</t>
  </si>
  <si>
    <t>22.0224 Tribal/Indigenous Law.</t>
  </si>
  <si>
    <t>22.0299</t>
  </si>
  <si>
    <t>22.0299 Legal Research and Advanced Professional Studies, Other.</t>
  </si>
  <si>
    <t>22.03</t>
  </si>
  <si>
    <t>22.0301</t>
  </si>
  <si>
    <t>22.0301 Legal Administrative Assistant/Secretary.</t>
  </si>
  <si>
    <t>22.0302</t>
  </si>
  <si>
    <t>22.0302 Legal Assistant/Paralegal.</t>
  </si>
  <si>
    <t>22.0303</t>
  </si>
  <si>
    <t>22.0303 Court Reporting and Captioning/Court Reporter.</t>
  </si>
  <si>
    <t>22.0304</t>
  </si>
  <si>
    <t>22.0304 Court Interpreter.</t>
  </si>
  <si>
    <t>22.0305</t>
  </si>
  <si>
    <t>22.0305 Scopist.</t>
  </si>
  <si>
    <t>22.0399</t>
  </si>
  <si>
    <t>22.0399 Legal Support Services, Other.</t>
  </si>
  <si>
    <t>22.99</t>
  </si>
  <si>
    <t>22.9999</t>
  </si>
  <si>
    <t>22.9999 Legal Professions and Studies, Other.</t>
  </si>
  <si>
    <t>23</t>
  </si>
  <si>
    <t>23.01</t>
  </si>
  <si>
    <t>23.0101</t>
  </si>
  <si>
    <t>23.0101 English Language and Literature, General.</t>
  </si>
  <si>
    <t>23.13</t>
  </si>
  <si>
    <t>23.1301</t>
  </si>
  <si>
    <t>23.1301 Writing, General.</t>
  </si>
  <si>
    <t>23.1302</t>
  </si>
  <si>
    <t>23.1302 Creative Writing.</t>
  </si>
  <si>
    <t>23.1303</t>
  </si>
  <si>
    <t>23.1303 Professional, Technical, Business, and Scientific Writing.</t>
  </si>
  <si>
    <t>23.1304</t>
  </si>
  <si>
    <t>23.1304 Rhetoric and Composition.</t>
  </si>
  <si>
    <t>23.1399</t>
  </si>
  <si>
    <t>23.1399 Rhetoric and Composition/Writing Studies, Other.</t>
  </si>
  <si>
    <t>23.14</t>
  </si>
  <si>
    <t>23.1401</t>
  </si>
  <si>
    <t>23.1401 General Literature.</t>
  </si>
  <si>
    <t>23.1402</t>
  </si>
  <si>
    <t>23.1402 American Literature (United States).</t>
  </si>
  <si>
    <t>23.1403</t>
  </si>
  <si>
    <t>23.1403 American Literature (Canadian).</t>
  </si>
  <si>
    <t>23.1404</t>
  </si>
  <si>
    <t>23.1404 English Literature (British and Commonwealth).</t>
  </si>
  <si>
    <t>23.1405</t>
  </si>
  <si>
    <t>23.1405 Children's and Adolescent Literature.</t>
  </si>
  <si>
    <t>23.1499</t>
  </si>
  <si>
    <t>23.1499 Literature, Other.</t>
  </si>
  <si>
    <t>23.99</t>
  </si>
  <si>
    <t>23.9999</t>
  </si>
  <si>
    <t>23.9999 English Language and Literature/Letters, Other.</t>
  </si>
  <si>
    <t>24</t>
  </si>
  <si>
    <t>24.01</t>
  </si>
  <si>
    <t>24.0101</t>
  </si>
  <si>
    <t>24.0101 Liberal Arts and Sciences/Liberal Studies.</t>
  </si>
  <si>
    <t>24.0102</t>
  </si>
  <si>
    <t>24.0102 General Studies.</t>
  </si>
  <si>
    <t>24.0103</t>
  </si>
  <si>
    <t>24.0103 Humanities/Humanistic Studies.</t>
  </si>
  <si>
    <t>24.0199</t>
  </si>
  <si>
    <t>24.0199 Liberal Arts and Sciences, General Studies and Humanities, Other.</t>
  </si>
  <si>
    <t>25</t>
  </si>
  <si>
    <t>25.01</t>
  </si>
  <si>
    <t>25.0101</t>
  </si>
  <si>
    <t>25.0101 Library and Information Science.</t>
  </si>
  <si>
    <t>25.0102</t>
  </si>
  <si>
    <t>25.0102 Children and Youth Library Services.</t>
  </si>
  <si>
    <t>25.0103</t>
  </si>
  <si>
    <t>25.0103 Archives/Archival Administration.</t>
  </si>
  <si>
    <t>25.0199</t>
  </si>
  <si>
    <t>25.0199 Library Science and Administration, Other.</t>
  </si>
  <si>
    <t>25.03</t>
  </si>
  <si>
    <t>25.0301</t>
  </si>
  <si>
    <t>25.0301 Library and Archives Assisting.</t>
  </si>
  <si>
    <t>25.99</t>
  </si>
  <si>
    <t>25.9999</t>
  </si>
  <si>
    <t>25.9999 Library Science, Other.</t>
  </si>
  <si>
    <t>26</t>
  </si>
  <si>
    <t>26.01</t>
  </si>
  <si>
    <t>26.0101</t>
  </si>
  <si>
    <t>26.0101 Biology/Biological Sciences, General.</t>
  </si>
  <si>
    <t>26.0102</t>
  </si>
  <si>
    <t>26.0102 Biomedical Sciences, General.</t>
  </si>
  <si>
    <t>26.02</t>
  </si>
  <si>
    <t>26.0202</t>
  </si>
  <si>
    <t>26.0202 Biochemistry.</t>
  </si>
  <si>
    <t>26.0203</t>
  </si>
  <si>
    <t>26.0203 Biophysics.</t>
  </si>
  <si>
    <t>26.0204</t>
  </si>
  <si>
    <t>26.0204 Molecular Biology.</t>
  </si>
  <si>
    <t>26.0205</t>
  </si>
  <si>
    <t>26.0205 Molecular Biochemistry.</t>
  </si>
  <si>
    <t>26.0206</t>
  </si>
  <si>
    <t>26.0206 Molecular Biophysics.</t>
  </si>
  <si>
    <t>26.0207</t>
  </si>
  <si>
    <t>26.0207 Structural Biology.</t>
  </si>
  <si>
    <t>26.0208</t>
  </si>
  <si>
    <t>26.0208 Photobiology.</t>
  </si>
  <si>
    <t>26.0209</t>
  </si>
  <si>
    <t>26.0209 Radiation Biology/Radiobiology.</t>
  </si>
  <si>
    <t>26.0210</t>
  </si>
  <si>
    <t>26.0210 Biochemistry and Molecular Biology.</t>
  </si>
  <si>
    <t>26.0299</t>
  </si>
  <si>
    <t>26.0299 Biochemistry, Biophysics and Molecular Biology, Other.</t>
  </si>
  <si>
    <t>26.03</t>
  </si>
  <si>
    <t>26.0301</t>
  </si>
  <si>
    <t>26.0301 Botany/Plant Biology.</t>
  </si>
  <si>
    <t>26.0305</t>
  </si>
  <si>
    <t>26.0305 Plant Pathology/Phytopathology.</t>
  </si>
  <si>
    <t>26.0307</t>
  </si>
  <si>
    <t>26.0307 Plant Physiology.</t>
  </si>
  <si>
    <t>26.0308</t>
  </si>
  <si>
    <t>26.0308 Plant Molecular Biology.</t>
  </si>
  <si>
    <t>26.0399</t>
  </si>
  <si>
    <t>26.0399 Botany/Plant Biology, Other.</t>
  </si>
  <si>
    <t>26.04</t>
  </si>
  <si>
    <t>26.0401</t>
  </si>
  <si>
    <t>26.0401 Cell/Cellular Biology and Histology.</t>
  </si>
  <si>
    <t>26.0403</t>
  </si>
  <si>
    <t>26.0403 Anatomy.</t>
  </si>
  <si>
    <t>26.0404</t>
  </si>
  <si>
    <t>26.0404 Developmental Biology and Embryology.</t>
  </si>
  <si>
    <t>26.0406</t>
  </si>
  <si>
    <t>26.0406 Cell/Cellular and Molecular Biology.</t>
  </si>
  <si>
    <t>26.0407</t>
  </si>
  <si>
    <t>26.0407 Cell Biology and Anatomy.</t>
  </si>
  <si>
    <t>26.0499</t>
  </si>
  <si>
    <t>26.0499 Cell/Cellular Biology and Anatomical Sciences, Other.</t>
  </si>
  <si>
    <t>26.05</t>
  </si>
  <si>
    <t>26.0502</t>
  </si>
  <si>
    <t>26.0502 Microbiology, General.</t>
  </si>
  <si>
    <t>26.0503</t>
  </si>
  <si>
    <t>26.0503 Medical Microbiology and Bacteriology.</t>
  </si>
  <si>
    <t>26.0504</t>
  </si>
  <si>
    <t>26.0504 Virology.</t>
  </si>
  <si>
    <t>26.0505</t>
  </si>
  <si>
    <t>26.0505 Parasitology.</t>
  </si>
  <si>
    <t>26.0506</t>
  </si>
  <si>
    <t>26.0506 Mycology.</t>
  </si>
  <si>
    <t>26.0507</t>
  </si>
  <si>
    <t>26.0507 Immunology.</t>
  </si>
  <si>
    <t>26.0508</t>
  </si>
  <si>
    <t>26.0508 Microbiology and Immunology.</t>
  </si>
  <si>
    <t>26.0509</t>
  </si>
  <si>
    <t>26.0509 Infectious Disease and Global Health.</t>
  </si>
  <si>
    <t>26.0599</t>
  </si>
  <si>
    <t>26.0599 Microbiological Sciences and Immunology, Other.</t>
  </si>
  <si>
    <t>26.07</t>
  </si>
  <si>
    <t>26.0701</t>
  </si>
  <si>
    <t>26.0701 Zoology/Animal Biology.</t>
  </si>
  <si>
    <t>26.0702</t>
  </si>
  <si>
    <t>26.0702 Entomology.</t>
  </si>
  <si>
    <t>26.0707</t>
  </si>
  <si>
    <t>26.0707 Animal Physiology.</t>
  </si>
  <si>
    <t>26.0708</t>
  </si>
  <si>
    <t>26.0708 Animal Behavior and Ethology.</t>
  </si>
  <si>
    <t>26.0709</t>
  </si>
  <si>
    <t>26.0709 Wildlife Biology.</t>
  </si>
  <si>
    <t>26.0799</t>
  </si>
  <si>
    <t>26.0799 Zoology/Animal Biology, Other.</t>
  </si>
  <si>
    <t>26.08</t>
  </si>
  <si>
    <t>26.0801</t>
  </si>
  <si>
    <t>26.0801 Genetics, General.</t>
  </si>
  <si>
    <t>26.0802</t>
  </si>
  <si>
    <t>26.0802 Molecular Genetics.</t>
  </si>
  <si>
    <t>26.0803</t>
  </si>
  <si>
    <t>26.0803 Microbial and Eukaryotic Genetics.</t>
  </si>
  <si>
    <t>26.0804</t>
  </si>
  <si>
    <t>26.0804 Animal Genetics.</t>
  </si>
  <si>
    <t>26.0805</t>
  </si>
  <si>
    <t>26.0805 Plant Genetics.</t>
  </si>
  <si>
    <t>26.0806</t>
  </si>
  <si>
    <t>26.0806 Human/Medical Genetics.</t>
  </si>
  <si>
    <t>26.0807</t>
  </si>
  <si>
    <t>26.0807 Genome Sciences/Genomics.</t>
  </si>
  <si>
    <t>26.0899</t>
  </si>
  <si>
    <t>26.0899 Genetics, Other.</t>
  </si>
  <si>
    <t>26.09</t>
  </si>
  <si>
    <t>26.0901</t>
  </si>
  <si>
    <t>26.0901 Physiology, General.</t>
  </si>
  <si>
    <t>26.0902</t>
  </si>
  <si>
    <t>26.0902 Molecular Physiology.</t>
  </si>
  <si>
    <t>26.0903</t>
  </si>
  <si>
    <t>26.0903 Cell Physiology.</t>
  </si>
  <si>
    <t>26.0904</t>
  </si>
  <si>
    <t>26.0904 Endocrinology.</t>
  </si>
  <si>
    <t>26.0905</t>
  </si>
  <si>
    <t>26.0905 Reproductive Biology.</t>
  </si>
  <si>
    <t>26.0907</t>
  </si>
  <si>
    <t>26.0907 Cardiovascular Science.</t>
  </si>
  <si>
    <t>26.0908</t>
  </si>
  <si>
    <t>26.0908 Exercise Physiology and Kinesiology.</t>
  </si>
  <si>
    <t>26.0909</t>
  </si>
  <si>
    <t>26.0909 Vision Science/Physiological Optics.</t>
  </si>
  <si>
    <t>26.0910</t>
  </si>
  <si>
    <t>26.0910 Pathology/Experimental Pathology.</t>
  </si>
  <si>
    <t>26.0911</t>
  </si>
  <si>
    <t>26.0911 Oncology and Cancer Biology.</t>
  </si>
  <si>
    <t>26.0912</t>
  </si>
  <si>
    <t>26.0912 Aerospace Physiology and Medicine.</t>
  </si>
  <si>
    <t>26.0913</t>
  </si>
  <si>
    <t>26.0913 Biomechanics.</t>
  </si>
  <si>
    <t>26.0999</t>
  </si>
  <si>
    <t>26.0999 Physiology, Pathology, and Related Sciences, Other.</t>
  </si>
  <si>
    <t>26.10</t>
  </si>
  <si>
    <t>26.1001</t>
  </si>
  <si>
    <t>26.1001 Pharmacology.</t>
  </si>
  <si>
    <t>26.1002</t>
  </si>
  <si>
    <t>26.1002 Molecular Pharmacology.</t>
  </si>
  <si>
    <t>26.1003</t>
  </si>
  <si>
    <t>26.1003 Neuropharmacology.</t>
  </si>
  <si>
    <t>26.1004</t>
  </si>
  <si>
    <t>26.1004 Toxicology.</t>
  </si>
  <si>
    <t>26.1005</t>
  </si>
  <si>
    <t>26.1005 Molecular Toxicology.</t>
  </si>
  <si>
    <t>26.1006</t>
  </si>
  <si>
    <t>26.1006 Environmental Toxicology.</t>
  </si>
  <si>
    <t>26.1007</t>
  </si>
  <si>
    <t>26.1007 Pharmacology and Toxicology.</t>
  </si>
  <si>
    <t>26.1099</t>
  </si>
  <si>
    <t>26.1099 Pharmacology and Toxicology, Other.</t>
  </si>
  <si>
    <t>26.11</t>
  </si>
  <si>
    <t>26.1101</t>
  </si>
  <si>
    <t>26.1101 Biometry/Biometrics.</t>
  </si>
  <si>
    <t>26.1102</t>
  </si>
  <si>
    <t>26.1102 Biostatistics.</t>
  </si>
  <si>
    <t>26.1103</t>
  </si>
  <si>
    <t>26.1103 Bioinformatics.</t>
  </si>
  <si>
    <t>26.1104</t>
  </si>
  <si>
    <t>26.1104 Computational Biology.</t>
  </si>
  <si>
    <t>26.1199</t>
  </si>
  <si>
    <t>26.1199 Biomathematics, Bioinformatics, and Computational Biology, Other.</t>
  </si>
  <si>
    <t>26.12</t>
  </si>
  <si>
    <t>26.1201</t>
  </si>
  <si>
    <t>26.1201 Biotechnology.</t>
  </si>
  <si>
    <t>26.13</t>
  </si>
  <si>
    <t>26.1301</t>
  </si>
  <si>
    <t>26.1301 Ecology.</t>
  </si>
  <si>
    <t>26.1302</t>
  </si>
  <si>
    <t>26.1302 Marine Biology and Biological Oceanography.</t>
  </si>
  <si>
    <t>26.1303</t>
  </si>
  <si>
    <t>26.1303 Evolutionary Biology.</t>
  </si>
  <si>
    <t>26.1304</t>
  </si>
  <si>
    <t>26.1304 Aquatic Biology/Limnology.</t>
  </si>
  <si>
    <t>26.1305</t>
  </si>
  <si>
    <t>26.1305 Environmental Biology.</t>
  </si>
  <si>
    <t>26.1306</t>
  </si>
  <si>
    <t>26.1306 Population Biology.</t>
  </si>
  <si>
    <t>26.1307</t>
  </si>
  <si>
    <t>26.1307 Conservation Biology.</t>
  </si>
  <si>
    <t>26.1308</t>
  </si>
  <si>
    <t>26.1308 Systematic Biology/Biological Systematics.</t>
  </si>
  <si>
    <t>26.1309</t>
  </si>
  <si>
    <t>26.1309 Epidemiology.</t>
  </si>
  <si>
    <t>26.1310</t>
  </si>
  <si>
    <t>26.1310 Ecology and Evolutionary Biology.</t>
  </si>
  <si>
    <t>26.1311</t>
  </si>
  <si>
    <t>26.1311 Epidemiology and Biostatistics.</t>
  </si>
  <si>
    <t>26.1399</t>
  </si>
  <si>
    <t>26.1399 Ecology, Evolution, Systematics and Population Biology, Other.</t>
  </si>
  <si>
    <t>26.14</t>
  </si>
  <si>
    <t>26.1401</t>
  </si>
  <si>
    <t>26.1401 Molecular Medicine.</t>
  </si>
  <si>
    <t>26.15</t>
  </si>
  <si>
    <t>26.1501</t>
  </si>
  <si>
    <t>26.1501 Neuroscience.</t>
  </si>
  <si>
    <t>26.1502</t>
  </si>
  <si>
    <t>26.1502 Neuroanatomy.</t>
  </si>
  <si>
    <t>26.1503</t>
  </si>
  <si>
    <t>26.1503 Neurobiology and Anatomy.</t>
  </si>
  <si>
    <t>26.1504</t>
  </si>
  <si>
    <t>26.1504 Neurobiology and Behavior.</t>
  </si>
  <si>
    <t>26.1599</t>
  </si>
  <si>
    <t>26.1599 Neurobiology and Neurosciences, Other.</t>
  </si>
  <si>
    <t>26.99</t>
  </si>
  <si>
    <t>26.9999</t>
  </si>
  <si>
    <t>26.9999 Biological and Biomedical Sciences, Other.</t>
  </si>
  <si>
    <t>27</t>
  </si>
  <si>
    <t>27.01</t>
  </si>
  <si>
    <t>27.0101</t>
  </si>
  <si>
    <t>27.0101 Mathematics, General.</t>
  </si>
  <si>
    <t>27.0102</t>
  </si>
  <si>
    <t>27.0102 Algebra and Number Theory.</t>
  </si>
  <si>
    <t>27.0103</t>
  </si>
  <si>
    <t>27.0103 Analysis and Functional Analysis.</t>
  </si>
  <si>
    <t>27.0104</t>
  </si>
  <si>
    <t>27.0104 Geometry/Geometric Analysis.</t>
  </si>
  <si>
    <t>27.0105</t>
  </si>
  <si>
    <t>27.0105 Topology and Foundations.</t>
  </si>
  <si>
    <t>27.0199</t>
  </si>
  <si>
    <t>27.0199 Mathematics, Other.</t>
  </si>
  <si>
    <t>27.03</t>
  </si>
  <si>
    <t>27.0301</t>
  </si>
  <si>
    <t>27.0301 Applied Mathematics, General.</t>
  </si>
  <si>
    <t>27.0303</t>
  </si>
  <si>
    <t>27.0303 Computational Mathematics.</t>
  </si>
  <si>
    <t>27.0304</t>
  </si>
  <si>
    <t>27.0304 Computational and Applied Mathematics.</t>
  </si>
  <si>
    <t>27.0305</t>
  </si>
  <si>
    <t>27.0305 Financial Mathematics.</t>
  </si>
  <si>
    <t>27.0306</t>
  </si>
  <si>
    <t>27.0306 Mathematical Biology.</t>
  </si>
  <si>
    <t>27.0399</t>
  </si>
  <si>
    <t>27.0399 Applied Mathematics, Other.</t>
  </si>
  <si>
    <t>27.05</t>
  </si>
  <si>
    <t>27.0501</t>
  </si>
  <si>
    <t>27.0501 Statistics, General.</t>
  </si>
  <si>
    <t>27.0502</t>
  </si>
  <si>
    <t>27.0502 Mathematical Statistics and Probability.</t>
  </si>
  <si>
    <t>27.0503</t>
  </si>
  <si>
    <t>27.0503 Mathematics and Statistics.</t>
  </si>
  <si>
    <t>27.0599</t>
  </si>
  <si>
    <t>27.0599 Statistics, Other.</t>
  </si>
  <si>
    <t>27.06</t>
  </si>
  <si>
    <t>27.0601</t>
  </si>
  <si>
    <t>27.0601 Applied Statistics, General.</t>
  </si>
  <si>
    <t>27.99</t>
  </si>
  <si>
    <t>27.9999</t>
  </si>
  <si>
    <t>27.9999 Mathematics and Statistics, Other.</t>
  </si>
  <si>
    <t>28</t>
  </si>
  <si>
    <t>28.01</t>
  </si>
  <si>
    <t>28.0101</t>
  </si>
  <si>
    <t>28.0101 Air Force JROTC/ROTC.</t>
  </si>
  <si>
    <t>28.0199</t>
  </si>
  <si>
    <t>28.0199 Air Force ROTC, Air Science and Operations, Other.</t>
  </si>
  <si>
    <t>28.03</t>
  </si>
  <si>
    <t>28.0301</t>
  </si>
  <si>
    <t>28.0301 Army JROTC/ROTC.</t>
  </si>
  <si>
    <t>28.0399</t>
  </si>
  <si>
    <t>28.0399 Army ROTC, Military Science and Operations, Other.</t>
  </si>
  <si>
    <t>28.04</t>
  </si>
  <si>
    <t>28.0401</t>
  </si>
  <si>
    <t>28.0401 Navy/Marine Corps JROTC/ROTC.</t>
  </si>
  <si>
    <t>28.0499</t>
  </si>
  <si>
    <t>28.0499 Navy/Marine Corps ROTC, Naval Science and Operations, Other.</t>
  </si>
  <si>
    <t>28.05</t>
  </si>
  <si>
    <t>28.0501</t>
  </si>
  <si>
    <t>28.0501 Air Science/Airpower Studies.</t>
  </si>
  <si>
    <t>28.0502</t>
  </si>
  <si>
    <t>28.0502 Air and Space Operational Art and Science.</t>
  </si>
  <si>
    <t>28.0503</t>
  </si>
  <si>
    <t>28.0503 Military Operational Art and Science/Studies.</t>
  </si>
  <si>
    <t>28.0504</t>
  </si>
  <si>
    <t>28.0504 Advanced Military and Operational Studies.</t>
  </si>
  <si>
    <t>28.0505</t>
  </si>
  <si>
    <t>28.0505 Naval Science and Operational Studies.</t>
  </si>
  <si>
    <t>28.0506</t>
  </si>
  <si>
    <t>28.0506 Special, Irregular and Counterterrorist Operations.</t>
  </si>
  <si>
    <t>28.0599</t>
  </si>
  <si>
    <t>28.0599 Military Science and Operational Studies, Other.</t>
  </si>
  <si>
    <t>28.06</t>
  </si>
  <si>
    <t>28.0601</t>
  </si>
  <si>
    <t>28.0601 Strategic Studies, General.</t>
  </si>
  <si>
    <t>28.0602</t>
  </si>
  <si>
    <t>28.0602 Military and Strategic Leadership.</t>
  </si>
  <si>
    <t>28.0603</t>
  </si>
  <si>
    <t>28.0603 Military and International Operational Law.</t>
  </si>
  <si>
    <t>28.0604</t>
  </si>
  <si>
    <t>28.0604 Joint Operations Planning and Strategy.</t>
  </si>
  <si>
    <t>28.0605</t>
  </si>
  <si>
    <t>28.0605 Weapons of Mass Destruction.</t>
  </si>
  <si>
    <t>28.0699</t>
  </si>
  <si>
    <t>28.0699 National Security Policy and Strategy, Other.</t>
  </si>
  <si>
    <t>28.07</t>
  </si>
  <si>
    <t>28.0701</t>
  </si>
  <si>
    <t>28.0701 National Resource Strategy and Policy.</t>
  </si>
  <si>
    <t>28.0702</t>
  </si>
  <si>
    <t>28.0702 Industry Studies.</t>
  </si>
  <si>
    <t>28.0703</t>
  </si>
  <si>
    <t>28.0703 Military Installation Management.</t>
  </si>
  <si>
    <t>28.0799</t>
  </si>
  <si>
    <t>28.0799 Military Economics and Management, Other.</t>
  </si>
  <si>
    <t>28.08</t>
  </si>
  <si>
    <t>28.0801</t>
  </si>
  <si>
    <t>28.0801 Reserved.</t>
  </si>
  <si>
    <t>28.99</t>
  </si>
  <si>
    <t>28.9999</t>
  </si>
  <si>
    <t>28.9999 Military Science, Leadership and Operational Art, Other.</t>
  </si>
  <si>
    <t>29</t>
  </si>
  <si>
    <t>29.02</t>
  </si>
  <si>
    <t>29.0201</t>
  </si>
  <si>
    <t>29.0201 Intelligence, General.</t>
  </si>
  <si>
    <t>29.0202</t>
  </si>
  <si>
    <t>29.0202 Strategic Intelligence.</t>
  </si>
  <si>
    <t>29.0203</t>
  </si>
  <si>
    <t>29.0203 Signal/Geospatial Intelligence.</t>
  </si>
  <si>
    <t>29.0204</t>
  </si>
  <si>
    <t>29.0204 Command &amp; Control (C3, C4I) Systems and Operations.</t>
  </si>
  <si>
    <t>29.0205</t>
  </si>
  <si>
    <t>29.0205 Information Operations/Joint Information Operations.</t>
  </si>
  <si>
    <t>29.0206</t>
  </si>
  <si>
    <t>29.0206 Information/Psychological Warfare and Military Media Relations.</t>
  </si>
  <si>
    <t>29.0207</t>
  </si>
  <si>
    <t>29.0207 Cyber/Electronic Operations and Warfare.</t>
  </si>
  <si>
    <t>29.0299</t>
  </si>
  <si>
    <t>29.0299 Intelligence, Command Control and Information Operations, Other.</t>
  </si>
  <si>
    <t>29.03</t>
  </si>
  <si>
    <t>29.0301</t>
  </si>
  <si>
    <t>29.0301 Combat Systems Engineering.</t>
  </si>
  <si>
    <t>29.0302</t>
  </si>
  <si>
    <t>29.0302 Directed Energy Systems.</t>
  </si>
  <si>
    <t>29.0303</t>
  </si>
  <si>
    <t>29.0303 Engineering Acoustics.</t>
  </si>
  <si>
    <t>29.0304</t>
  </si>
  <si>
    <t>29.0304 Low-Observables and Stealth Technology.</t>
  </si>
  <si>
    <t>29.0305</t>
  </si>
  <si>
    <t>29.0305 Space Systems Operations.</t>
  </si>
  <si>
    <t>29.0306</t>
  </si>
  <si>
    <t>29.0306 Operational Oceanography.</t>
  </si>
  <si>
    <t>29.0307</t>
  </si>
  <si>
    <t>29.0307 Undersea Warfare.</t>
  </si>
  <si>
    <t>29.0399</t>
  </si>
  <si>
    <t>29.0399 Military Applied Sciences, Other.</t>
  </si>
  <si>
    <t>29.04</t>
  </si>
  <si>
    <t>29.0401</t>
  </si>
  <si>
    <t>29.0401 Aerospace Ground Equipment Technology.</t>
  </si>
  <si>
    <t>29.0402</t>
  </si>
  <si>
    <t>29.0402 Air and Space Operations Technology.</t>
  </si>
  <si>
    <t>29.0403</t>
  </si>
  <si>
    <t>29.0403 Aircraft Armament Systems Technology.</t>
  </si>
  <si>
    <t>29.0404</t>
  </si>
  <si>
    <t>29.0404 Explosive Ordinance/Bomb Disposal.</t>
  </si>
  <si>
    <t>29.0405</t>
  </si>
  <si>
    <t>29.0405 Joint Command/Task Force (C3, C4I) Systems.</t>
  </si>
  <si>
    <t>29.0406</t>
  </si>
  <si>
    <t>29.0406 Military Information Systems Technology.</t>
  </si>
  <si>
    <t>29.0407</t>
  </si>
  <si>
    <t>29.0407 Missile and Space Systems Technology.</t>
  </si>
  <si>
    <t>29.0408</t>
  </si>
  <si>
    <t>29.0408 Munitions Systems/Ordinance Technology.</t>
  </si>
  <si>
    <t>29.0409</t>
  </si>
  <si>
    <t>29.0409 Radar Communications and Systems Technology.</t>
  </si>
  <si>
    <t>29.0499</t>
  </si>
  <si>
    <t>29.0499 Military Systems and Maintenance Technology, Other.</t>
  </si>
  <si>
    <t>29.05</t>
  </si>
  <si>
    <t>29.0501</t>
  </si>
  <si>
    <t>29.0501 Reserved.</t>
  </si>
  <si>
    <t>29.06</t>
  </si>
  <si>
    <t>29.0601</t>
  </si>
  <si>
    <t>29.0601 Military Technology and Applied Sciences Management.</t>
  </si>
  <si>
    <t>29.99</t>
  </si>
  <si>
    <t>29.9999</t>
  </si>
  <si>
    <t>29.9999 Military Technologies and Applied Sciences, Other.</t>
  </si>
  <si>
    <t>30.00</t>
  </si>
  <si>
    <t>30</t>
  </si>
  <si>
    <t>30.0000</t>
  </si>
  <si>
    <t>30.0000 Multi-/Interdisciplinary Studies, General.</t>
  </si>
  <si>
    <t>30.0001</t>
  </si>
  <si>
    <t>30.0001 Comprehensive Transition and Postsecondary (CTP) Program.</t>
  </si>
  <si>
    <t>30.01</t>
  </si>
  <si>
    <t>30.0101</t>
  </si>
  <si>
    <t>30.0101 Biological and Physical Sciences.</t>
  </si>
  <si>
    <t>30.05</t>
  </si>
  <si>
    <t>30.0501</t>
  </si>
  <si>
    <t>30.0501 Peace Studies and Conflict Resolution.</t>
  </si>
  <si>
    <t>30.06</t>
  </si>
  <si>
    <t>30.0601</t>
  </si>
  <si>
    <t>30.0601 Systems Science and Theory.</t>
  </si>
  <si>
    <t>30.08</t>
  </si>
  <si>
    <t>30.0801</t>
  </si>
  <si>
    <t>30.0801 Mathematics and Computer Science.</t>
  </si>
  <si>
    <t>30.10</t>
  </si>
  <si>
    <t>30.1001</t>
  </si>
  <si>
    <t>30.1001 Biopsychology.</t>
  </si>
  <si>
    <t>30.11</t>
  </si>
  <si>
    <t>30.1101</t>
  </si>
  <si>
    <t>30.1101 Gerontology.</t>
  </si>
  <si>
    <t>30.12</t>
  </si>
  <si>
    <t>30.1201</t>
  </si>
  <si>
    <t>30.1201 Historic Preservation and Conservation, General.</t>
  </si>
  <si>
    <t>30.1202</t>
  </si>
  <si>
    <t>30.1202 Cultural Resource Management and Policy Analysis.</t>
  </si>
  <si>
    <t>30.1299</t>
  </si>
  <si>
    <t>30.1299 Historic Preservation and Conservation, Other.</t>
  </si>
  <si>
    <t>30.13</t>
  </si>
  <si>
    <t>30.1301</t>
  </si>
  <si>
    <t>30.1301 Medieval and Renaissance Studies.</t>
  </si>
  <si>
    <t>30.14</t>
  </si>
  <si>
    <t>30.14 Museology/Museum Studies.</t>
  </si>
  <si>
    <t>30.1401</t>
  </si>
  <si>
    <t>30.1401 Museology/Museum Studies.</t>
  </si>
  <si>
    <t>30.15</t>
  </si>
  <si>
    <t>30.1501</t>
  </si>
  <si>
    <t>30.1501 Science, Technology and Society.</t>
  </si>
  <si>
    <t>30.16</t>
  </si>
  <si>
    <t>30.1601</t>
  </si>
  <si>
    <t>30.1601 Accounting and Computer Science.</t>
  </si>
  <si>
    <t>30.17</t>
  </si>
  <si>
    <t>30.1701</t>
  </si>
  <si>
    <t>30.1701 Behavioral Sciences.</t>
  </si>
  <si>
    <t>30.18</t>
  </si>
  <si>
    <t>30.1801</t>
  </si>
  <si>
    <t>30.1801 Natural Sciences.</t>
  </si>
  <si>
    <t>30.19</t>
  </si>
  <si>
    <t>30.1901</t>
  </si>
  <si>
    <t>30.1901 Nutrition Sciences.</t>
  </si>
  <si>
    <t>30.20</t>
  </si>
  <si>
    <t>30.2001</t>
  </si>
  <si>
    <t>30.2001 International/Globalization Studies.</t>
  </si>
  <si>
    <t>30.21</t>
  </si>
  <si>
    <t>30.2101</t>
  </si>
  <si>
    <t>30.2101 Holocaust and Related Studies.</t>
  </si>
  <si>
    <t>30.22</t>
  </si>
  <si>
    <t>30.2201</t>
  </si>
  <si>
    <t>30.2201 Ancient Studies/Civilization.</t>
  </si>
  <si>
    <t>30.2202</t>
  </si>
  <si>
    <t>30.2202 Classical, Ancient Mediterranean, and Near Eastern Studies and Archaeology.</t>
  </si>
  <si>
    <t>30.2299</t>
  </si>
  <si>
    <t>30.2299 Classical and Ancient Studies, Other.</t>
  </si>
  <si>
    <t>30.23</t>
  </si>
  <si>
    <t>30.2301</t>
  </si>
  <si>
    <t>30.2301 Intercultural/Multicultural and Diversity Studies.</t>
  </si>
  <si>
    <t>30.25</t>
  </si>
  <si>
    <t>30.2501</t>
  </si>
  <si>
    <t>30.2501 Cognitive Science, General.</t>
  </si>
  <si>
    <t>30.2502</t>
  </si>
  <si>
    <t>30.2502 Contemplative Studies/Inquiry.</t>
  </si>
  <si>
    <t>30.2599</t>
  </si>
  <si>
    <t>30.2599 Cognitive Science, Other.</t>
  </si>
  <si>
    <t>30.26</t>
  </si>
  <si>
    <t>30.2601</t>
  </si>
  <si>
    <t>30.2601 Cultural Studies/Critical Theory and Analysis.</t>
  </si>
  <si>
    <t>30.27</t>
  </si>
  <si>
    <t>30.2701</t>
  </si>
  <si>
    <t>30.2701 Human Biology.</t>
  </si>
  <si>
    <t>30.28</t>
  </si>
  <si>
    <t>30.2801</t>
  </si>
  <si>
    <t>30.2801 Dispute Resolution.</t>
  </si>
  <si>
    <t>30.29</t>
  </si>
  <si>
    <t>30.2901</t>
  </si>
  <si>
    <t>30.2901 Maritime Studies.</t>
  </si>
  <si>
    <t>30.30</t>
  </si>
  <si>
    <t>30.3001</t>
  </si>
  <si>
    <t>30.3001 Computational Science.</t>
  </si>
  <si>
    <t>30.31</t>
  </si>
  <si>
    <t>30.3101</t>
  </si>
  <si>
    <t>30.3101 Human Computer Interaction.</t>
  </si>
  <si>
    <t>30.32</t>
  </si>
  <si>
    <t>30.3201</t>
  </si>
  <si>
    <t>30.3201 Marine Sciences.</t>
  </si>
  <si>
    <t>30.33</t>
  </si>
  <si>
    <t>30.3301</t>
  </si>
  <si>
    <t>30.3301 Sustainability Studies.</t>
  </si>
  <si>
    <t>30.34</t>
  </si>
  <si>
    <t>30.3401</t>
  </si>
  <si>
    <t>30.3401 Anthrozoology.</t>
  </si>
  <si>
    <t>30.35</t>
  </si>
  <si>
    <t>30.3501</t>
  </si>
  <si>
    <t>30.3501 Climate Science.</t>
  </si>
  <si>
    <t>30.36</t>
  </si>
  <si>
    <t>30.3601</t>
  </si>
  <si>
    <t>30.3601 Cultural Studies and Comparative Literature.</t>
  </si>
  <si>
    <t>30.37</t>
  </si>
  <si>
    <t>30.3701</t>
  </si>
  <si>
    <t>30.3701 Design for Human Health.</t>
  </si>
  <si>
    <t>30.38</t>
  </si>
  <si>
    <t>30.3801</t>
  </si>
  <si>
    <t>30.3801 Earth Systems Science.</t>
  </si>
  <si>
    <t>30.39</t>
  </si>
  <si>
    <t>30.3901</t>
  </si>
  <si>
    <t>30.3901 Economics and Computer Science.</t>
  </si>
  <si>
    <t>30.40</t>
  </si>
  <si>
    <t>30.4001</t>
  </si>
  <si>
    <t>30.4001 Economics and Foreign Language/Literature.</t>
  </si>
  <si>
    <t>30.41</t>
  </si>
  <si>
    <t>30.4101</t>
  </si>
  <si>
    <t>30.4101 Environmental Geosciences.</t>
  </si>
  <si>
    <t>30.42</t>
  </si>
  <si>
    <t>30.4201</t>
  </si>
  <si>
    <t>30.4201 Geoarcheaology.</t>
  </si>
  <si>
    <t>30.43</t>
  </si>
  <si>
    <t>30.4301</t>
  </si>
  <si>
    <t>30.4301 Geobiology.</t>
  </si>
  <si>
    <t>30.44</t>
  </si>
  <si>
    <t>30.4401</t>
  </si>
  <si>
    <t>30.4401 Geography and Environmental Studies.</t>
  </si>
  <si>
    <t>30.45</t>
  </si>
  <si>
    <t>30.4501</t>
  </si>
  <si>
    <t>30.4501 History and Language/Literature.</t>
  </si>
  <si>
    <t>30.46</t>
  </si>
  <si>
    <t>30.4601</t>
  </si>
  <si>
    <t>30.4601 History and Political Science.</t>
  </si>
  <si>
    <t>30.47</t>
  </si>
  <si>
    <t>30.4701</t>
  </si>
  <si>
    <t>30.4701 Linguistics and Anthropology.</t>
  </si>
  <si>
    <t>30.48</t>
  </si>
  <si>
    <t>30.4801</t>
  </si>
  <si>
    <t>30.4801 Linguistics and Computer Science.</t>
  </si>
  <si>
    <t>30.49</t>
  </si>
  <si>
    <t>30.4901</t>
  </si>
  <si>
    <t>30.4901 Mathematical Economics.</t>
  </si>
  <si>
    <t>30.50</t>
  </si>
  <si>
    <t>30.5001</t>
  </si>
  <si>
    <t>30.5001 Mathematics and Atmospheric/Oceanic Science.</t>
  </si>
  <si>
    <t>30.51</t>
  </si>
  <si>
    <t>30.5101</t>
  </si>
  <si>
    <t>30.5101 Philosophy, Politics, and Economics.</t>
  </si>
  <si>
    <t>30.52</t>
  </si>
  <si>
    <t>30.5201</t>
  </si>
  <si>
    <t>30.5201 Digital Humanities and Textual Studies, General.</t>
  </si>
  <si>
    <t>30.5202</t>
  </si>
  <si>
    <t>30.5202 Digital Humanities.</t>
  </si>
  <si>
    <t>30.5203</t>
  </si>
  <si>
    <t>30.5203 Textual Studies.</t>
  </si>
  <si>
    <t>30.5299</t>
  </si>
  <si>
    <t>30.5299 Digital Humanities and Textual Studies, Other.</t>
  </si>
  <si>
    <t>30.53</t>
  </si>
  <si>
    <t>30.5301</t>
  </si>
  <si>
    <t>30.5301 Thanatology.</t>
  </si>
  <si>
    <t>30.70</t>
  </si>
  <si>
    <t>30.7001</t>
  </si>
  <si>
    <t>30.7001 Data Science, General.</t>
  </si>
  <si>
    <t>30.7099</t>
  </si>
  <si>
    <t>30.7099 Data Science, Other.</t>
  </si>
  <si>
    <t>30.71</t>
  </si>
  <si>
    <t>30.7101</t>
  </si>
  <si>
    <t>30.7101 Data Analytics, General.</t>
  </si>
  <si>
    <t>30.7102</t>
  </si>
  <si>
    <t>30.7102 Business Analytics.</t>
  </si>
  <si>
    <t>30.7103</t>
  </si>
  <si>
    <t>30.7103 Data Visualization.</t>
  </si>
  <si>
    <t>30.7104</t>
  </si>
  <si>
    <t>30.7104 Financial Analytics.</t>
  </si>
  <si>
    <t>30.7199</t>
  </si>
  <si>
    <t>30.7199 Data Analytics, Other.</t>
  </si>
  <si>
    <t>30.99</t>
  </si>
  <si>
    <t>30.9999</t>
  </si>
  <si>
    <t>30.9999 Multi-/Interdisciplinary Studies, Other.</t>
  </si>
  <si>
    <t>31</t>
  </si>
  <si>
    <t>31.01</t>
  </si>
  <si>
    <t>31.0101</t>
  </si>
  <si>
    <t>31.0101 Parks, Recreation, and Leisure Studies.</t>
  </si>
  <si>
    <t>31.03</t>
  </si>
  <si>
    <t>31.0301</t>
  </si>
  <si>
    <t>31.0301 Parks, Recreation, and Leisure Facilities Management, General.</t>
  </si>
  <si>
    <t>31.0302</t>
  </si>
  <si>
    <t>31.0302 Golf Course Operation and Grounds Management.</t>
  </si>
  <si>
    <t>31.0399</t>
  </si>
  <si>
    <t>31.0399 Parks, Recreation, and Leisure Facilities Management, Other.</t>
  </si>
  <si>
    <t>31.05</t>
  </si>
  <si>
    <t>31.0501</t>
  </si>
  <si>
    <t>31.0501 Sports, Kinesiology, and Physical Education/Fitness, General.</t>
  </si>
  <si>
    <t>31.0504</t>
  </si>
  <si>
    <t>31.0504 Sport and Fitness Administration/Management.</t>
  </si>
  <si>
    <t>31.0505</t>
  </si>
  <si>
    <t>31.0505 Exercise Science and Kinesiology.</t>
  </si>
  <si>
    <t>31.0507</t>
  </si>
  <si>
    <t>31.0507 Physical Fitness Technician.</t>
  </si>
  <si>
    <t>31.0508</t>
  </si>
  <si>
    <t>31.0508 Sports Studies.</t>
  </si>
  <si>
    <t>31.0599</t>
  </si>
  <si>
    <t>31.0599 Sports, Kinesiology, and Physical Education/Fitness, Other.</t>
  </si>
  <si>
    <t>31.06</t>
  </si>
  <si>
    <t>31.0601</t>
  </si>
  <si>
    <t>31.0601 Outdoor Education.</t>
  </si>
  <si>
    <t>31.99</t>
  </si>
  <si>
    <t>31.9999</t>
  </si>
  <si>
    <t>31.9999 Parks, Recreation, Leisure, Fitness, and Kinesiology, Other.</t>
  </si>
  <si>
    <t>32</t>
  </si>
  <si>
    <t>32.01</t>
  </si>
  <si>
    <t>32.0101</t>
  </si>
  <si>
    <t>32.0101 Basic Skills and Developmental/Remedial Education, General.</t>
  </si>
  <si>
    <t>32.0104</t>
  </si>
  <si>
    <t>32.0104 Developmental/Remedial Mathematics.</t>
  </si>
  <si>
    <t>32.0105</t>
  </si>
  <si>
    <t>32.0105 Job-Seeking/Changing Skills.</t>
  </si>
  <si>
    <t>32.0107</t>
  </si>
  <si>
    <t>32.0107 Career Exploration/Awareness Skills.</t>
  </si>
  <si>
    <t>32.0108</t>
  </si>
  <si>
    <t>32.0108 Developmental/Remedial English.</t>
  </si>
  <si>
    <t>32.0109</t>
  </si>
  <si>
    <t>32.0109 Second Language Learning.</t>
  </si>
  <si>
    <t>32.0110</t>
  </si>
  <si>
    <t>32.0110 Basic Computer Skills.</t>
  </si>
  <si>
    <t>32.0111</t>
  </si>
  <si>
    <t>32.0111 Workforce Development and Training.</t>
  </si>
  <si>
    <t>32.0112</t>
  </si>
  <si>
    <t>32.0112 Accent Reduction/Modification.</t>
  </si>
  <si>
    <t>32.0199</t>
  </si>
  <si>
    <t>32.0199 Basic Skills and Developmental/Remedial Education, Other.</t>
  </si>
  <si>
    <t>32.02</t>
  </si>
  <si>
    <t>32.0201</t>
  </si>
  <si>
    <t>32.0201 Exam Preparation and Test-Taking Skills, General.</t>
  </si>
  <si>
    <t>32.0202</t>
  </si>
  <si>
    <t>32.0202 High School Equivalent Exam Preparation.</t>
  </si>
  <si>
    <t>32.0203</t>
  </si>
  <si>
    <t>32.0203 Undergraduate Entrance/Placement Examination Preparation.</t>
  </si>
  <si>
    <t>32.0204</t>
  </si>
  <si>
    <t>32.0204 Graduate/Professional School Entrance Examination Preparation.</t>
  </si>
  <si>
    <t>32.0205</t>
  </si>
  <si>
    <t>32.0205 Professional Certification/Licensure Examination Preparation.</t>
  </si>
  <si>
    <t>32.0299</t>
  </si>
  <si>
    <t>32.0299 General Exam Preparation and Test-Taking Skills, Other.</t>
  </si>
  <si>
    <t>33</t>
  </si>
  <si>
    <t>33.01</t>
  </si>
  <si>
    <t>33.0101</t>
  </si>
  <si>
    <t>33.0101 Citizenship Activities, General.</t>
  </si>
  <si>
    <t>33.0102</t>
  </si>
  <si>
    <t>33.0102 American Citizenship Education.</t>
  </si>
  <si>
    <t>33.0103</t>
  </si>
  <si>
    <t>33.0103 Community Awareness.</t>
  </si>
  <si>
    <t>33.0104</t>
  </si>
  <si>
    <t>33.0104 Community Involvement.</t>
  </si>
  <si>
    <t>33.0105</t>
  </si>
  <si>
    <t>33.0105 Canadian Citizenship Education.</t>
  </si>
  <si>
    <t>33.0106</t>
  </si>
  <si>
    <t>33.0106 Personal Emergency Preparedness.</t>
  </si>
  <si>
    <t>33.0199</t>
  </si>
  <si>
    <t>33.0199 Citizenship Activities, Other.</t>
  </si>
  <si>
    <t>34</t>
  </si>
  <si>
    <t>34.01</t>
  </si>
  <si>
    <t>34.0102</t>
  </si>
  <si>
    <t>34.0102 Birthing and Parenting Knowledge and Skills.</t>
  </si>
  <si>
    <t>34.0103</t>
  </si>
  <si>
    <t>34.0103 Personal Health Improvement and Maintenance.</t>
  </si>
  <si>
    <t>34.0104</t>
  </si>
  <si>
    <t>34.0104 Addiction Prevention and Treatment.</t>
  </si>
  <si>
    <t>34.0105</t>
  </si>
  <si>
    <t>34.0105 Meditation/Mind-Body Wellness.</t>
  </si>
  <si>
    <t>34.0199</t>
  </si>
  <si>
    <t>34.0199 Health-Related Knowledge and Skills, Other.</t>
  </si>
  <si>
    <t>35</t>
  </si>
  <si>
    <t>35.01</t>
  </si>
  <si>
    <t>35.0101</t>
  </si>
  <si>
    <t>35.0101 Interpersonal and Social Skills, General.</t>
  </si>
  <si>
    <t>35.0102</t>
  </si>
  <si>
    <t>35.0102 Interpersonal Relationships Skills.</t>
  </si>
  <si>
    <t>35.0103</t>
  </si>
  <si>
    <t>35.0103 Business and Social Skills.</t>
  </si>
  <si>
    <t>35.0105</t>
  </si>
  <si>
    <t>35.0105 Life Coaching.</t>
  </si>
  <si>
    <t>35.0199</t>
  </si>
  <si>
    <t>35.0199 Interpersonal Social Skills, Other.</t>
  </si>
  <si>
    <t>36</t>
  </si>
  <si>
    <t>36.01</t>
  </si>
  <si>
    <t>36.0101</t>
  </si>
  <si>
    <t>36.0101 Leisure and Recreational Activities, General.</t>
  </si>
  <si>
    <t>36.0102</t>
  </si>
  <si>
    <t>36.0102 Handicrafts and Model-Making.</t>
  </si>
  <si>
    <t>36.0103</t>
  </si>
  <si>
    <t>36.0103 Board, Card and Role-Playing Games.</t>
  </si>
  <si>
    <t>36.0105</t>
  </si>
  <si>
    <t>36.0105 Home Maintenance and Improvement.</t>
  </si>
  <si>
    <t>36.0106</t>
  </si>
  <si>
    <t>36.0106 Nature Appreciation.</t>
  </si>
  <si>
    <t>36.0107</t>
  </si>
  <si>
    <t>36.0107 Pet Ownership and Care.</t>
  </si>
  <si>
    <t>36.0108</t>
  </si>
  <si>
    <t>36.0108 Sports and Exercise.</t>
  </si>
  <si>
    <t>36.0109</t>
  </si>
  <si>
    <t>36.0109 Travel and Exploration.</t>
  </si>
  <si>
    <t>36.0110</t>
  </si>
  <si>
    <t>36.0110 Art.</t>
  </si>
  <si>
    <t>36.0111</t>
  </si>
  <si>
    <t>36.0111 Collecting.</t>
  </si>
  <si>
    <t>36.0112</t>
  </si>
  <si>
    <t>36.0112 Cooking and Other Domestic Skills.</t>
  </si>
  <si>
    <t>36.0113</t>
  </si>
  <si>
    <t>36.0113 Computer Games and Programming Skills.</t>
  </si>
  <si>
    <t>36.0114</t>
  </si>
  <si>
    <t>36.0114 Dancing.</t>
  </si>
  <si>
    <t>36.0115</t>
  </si>
  <si>
    <t>36.0115 Music.</t>
  </si>
  <si>
    <t>36.0116</t>
  </si>
  <si>
    <t>36.0116 Reading.</t>
  </si>
  <si>
    <t>36.0117</t>
  </si>
  <si>
    <t>36.0117 Theatre/Theater.</t>
  </si>
  <si>
    <t>36.0118</t>
  </si>
  <si>
    <t>36.0118 Writing.</t>
  </si>
  <si>
    <t>36.0119</t>
  </si>
  <si>
    <t>36.0119 Aircraft Pilot (Private).</t>
  </si>
  <si>
    <t>36.0120</t>
  </si>
  <si>
    <t>36.0120 Beekeeping.</t>
  </si>
  <si>
    <t>36.0121</t>
  </si>
  <si>
    <t>36.0121 Firearms Training/Safety.</t>
  </si>
  <si>
    <t>36.0122</t>
  </si>
  <si>
    <t>36.0122 Floral Design/Arrangement.</t>
  </si>
  <si>
    <t>36.0123</t>
  </si>
  <si>
    <t>36.0123 Master Gardener/Gardening.</t>
  </si>
  <si>
    <t>36.0199</t>
  </si>
  <si>
    <t>36.0199 Leisure and Recreational Activities, Other.</t>
  </si>
  <si>
    <t>36.02</t>
  </si>
  <si>
    <t>36.0202</t>
  </si>
  <si>
    <t>36.0202 Aircraft Pilot (Private).</t>
  </si>
  <si>
    <t>36.0203</t>
  </si>
  <si>
    <t>36.0203 Automobile Driver Education.</t>
  </si>
  <si>
    <t>36.0204</t>
  </si>
  <si>
    <t>36.0204 Helicopter Pilot (Private).</t>
  </si>
  <si>
    <t>36.0205</t>
  </si>
  <si>
    <t>36.0205 Motorcycle Rider Education.</t>
  </si>
  <si>
    <t>36.0206</t>
  </si>
  <si>
    <t>36.0206 Personal Watercraft/Boating Education.</t>
  </si>
  <si>
    <t>36.0207</t>
  </si>
  <si>
    <t>36.0207 Remote Aircraft Pilot (Personal).</t>
  </si>
  <si>
    <t>36.0299</t>
  </si>
  <si>
    <t>36.0299 Noncommercial Vehicle Operation, Other.</t>
  </si>
  <si>
    <t>37</t>
  </si>
  <si>
    <t>37.01</t>
  </si>
  <si>
    <t>37.0101</t>
  </si>
  <si>
    <t>37.0101 Self-Awareness and Personal Assessment.</t>
  </si>
  <si>
    <t>37.0102</t>
  </si>
  <si>
    <t>37.0102 Stress Management and Coping Skills.</t>
  </si>
  <si>
    <t>37.0103</t>
  </si>
  <si>
    <t>37.0103 Personal Decision-Making Skills.</t>
  </si>
  <si>
    <t>37.0104</t>
  </si>
  <si>
    <t>37.0104 Self-Esteem and Values Clarification.</t>
  </si>
  <si>
    <t>37.0106</t>
  </si>
  <si>
    <t>37.0106 Investing/Wealth Management/Retirement Planning.</t>
  </si>
  <si>
    <t>37.0107</t>
  </si>
  <si>
    <t>37.0107 Self-Defense.</t>
  </si>
  <si>
    <t>37.0199</t>
  </si>
  <si>
    <t>37.0199 Personal Awareness and Self-Improvement, Other.</t>
  </si>
  <si>
    <t>38.00</t>
  </si>
  <si>
    <t>38</t>
  </si>
  <si>
    <t>38.0001</t>
  </si>
  <si>
    <t>38.0001 Philosophy and Religious Studies, General.</t>
  </si>
  <si>
    <t>38.01</t>
  </si>
  <si>
    <t>38.0101</t>
  </si>
  <si>
    <t>38.0101 Philosophy.</t>
  </si>
  <si>
    <t>38.0102</t>
  </si>
  <si>
    <t>38.0102 Logic.</t>
  </si>
  <si>
    <t>38.0103</t>
  </si>
  <si>
    <t>38.0103 Ethics.</t>
  </si>
  <si>
    <t>38.0104</t>
  </si>
  <si>
    <t>38.0104 Applied and Professional Ethics.</t>
  </si>
  <si>
    <t>38.0199</t>
  </si>
  <si>
    <t>38.0199 Philosophy, Other.</t>
  </si>
  <si>
    <t>38.02</t>
  </si>
  <si>
    <t>38.0201</t>
  </si>
  <si>
    <t>38.0201 Religion/Religious Studies.</t>
  </si>
  <si>
    <t>38.0202</t>
  </si>
  <si>
    <t>38.0202 Buddhist Studies.</t>
  </si>
  <si>
    <t>38.0203</t>
  </si>
  <si>
    <t>38.0203 Christian Studies.</t>
  </si>
  <si>
    <t>38.0204</t>
  </si>
  <si>
    <t>38.0204 Hindu Studies.</t>
  </si>
  <si>
    <t>38.0205</t>
  </si>
  <si>
    <t>38.0205 Islamic Studies.</t>
  </si>
  <si>
    <t>38.0206</t>
  </si>
  <si>
    <t>38.0206 Jewish/Judaic Studies.</t>
  </si>
  <si>
    <t>38.0207</t>
  </si>
  <si>
    <t>38.0207 Talmudic Studies.</t>
  </si>
  <si>
    <t>38.0208</t>
  </si>
  <si>
    <t>38.0208 Catholic Studies.</t>
  </si>
  <si>
    <t>38.0209</t>
  </si>
  <si>
    <t>38.0209 Mormon Studies.</t>
  </si>
  <si>
    <t>38.0299</t>
  </si>
  <si>
    <t>38.0299 Religion/Religious Studies, Other.</t>
  </si>
  <si>
    <t>38.99</t>
  </si>
  <si>
    <t>38.9999</t>
  </si>
  <si>
    <t>38.9999 Philosophy and Religious Studies, Other.</t>
  </si>
  <si>
    <t>39</t>
  </si>
  <si>
    <t>39.02</t>
  </si>
  <si>
    <t>39.0201</t>
  </si>
  <si>
    <t>39.0201 Bible/Biblical Studies.</t>
  </si>
  <si>
    <t>39.03</t>
  </si>
  <si>
    <t>39.0301</t>
  </si>
  <si>
    <t>39.0301 Missions/Missionary Studies.</t>
  </si>
  <si>
    <t>39.0302</t>
  </si>
  <si>
    <t>39.0302 Church Planting.</t>
  </si>
  <si>
    <t>39.0399</t>
  </si>
  <si>
    <t>39.0399 Missions/Missionary Studies and Missiology, Other.</t>
  </si>
  <si>
    <t>39.04</t>
  </si>
  <si>
    <t>39.0401</t>
  </si>
  <si>
    <t>39.0401 Religious Education.</t>
  </si>
  <si>
    <t>39.05</t>
  </si>
  <si>
    <t>39.0501</t>
  </si>
  <si>
    <t>39.0501 Religious/Sacred Music.</t>
  </si>
  <si>
    <t>39.0502</t>
  </si>
  <si>
    <t>39.0502 Worship Ministry.</t>
  </si>
  <si>
    <t>39.0599</t>
  </si>
  <si>
    <t>39.0599 Religious Music and Worship, Other.</t>
  </si>
  <si>
    <t>39.06</t>
  </si>
  <si>
    <t>39.0601</t>
  </si>
  <si>
    <t>39.0601 Theology/Theological Studies.</t>
  </si>
  <si>
    <t>39.0602</t>
  </si>
  <si>
    <t>39.0602 Divinity/Ministry.</t>
  </si>
  <si>
    <t>39.0604</t>
  </si>
  <si>
    <t>39.0604 Pre-Theology/Pre-Ministerial Studies.</t>
  </si>
  <si>
    <t>39.0605</t>
  </si>
  <si>
    <t>39.0605 Rabbinical Studies.</t>
  </si>
  <si>
    <t>39.0606</t>
  </si>
  <si>
    <t>39.0606 Talmudic Studies.</t>
  </si>
  <si>
    <t>39.0699</t>
  </si>
  <si>
    <t>39.0699 Theological and Ministerial Studies, Other.</t>
  </si>
  <si>
    <t>39.07</t>
  </si>
  <si>
    <t>39.0701</t>
  </si>
  <si>
    <t>39.0701 Pastoral Studies/Counseling.</t>
  </si>
  <si>
    <t>39.0702</t>
  </si>
  <si>
    <t>39.0702 Youth Ministry.</t>
  </si>
  <si>
    <t>39.0703</t>
  </si>
  <si>
    <t>39.0703 Urban Ministry.</t>
  </si>
  <si>
    <t>39.0704</t>
  </si>
  <si>
    <t>39.0704 Women's Ministry.</t>
  </si>
  <si>
    <t>39.0705</t>
  </si>
  <si>
    <t>39.0705 Lay Ministry.</t>
  </si>
  <si>
    <t>39.0706</t>
  </si>
  <si>
    <t>39.0706 Chaplain/Chaplaincy Studies.</t>
  </si>
  <si>
    <t>39.0799</t>
  </si>
  <si>
    <t>39.0799 Pastoral Counseling and Specialized Ministries, Other.</t>
  </si>
  <si>
    <t>39.08</t>
  </si>
  <si>
    <t>39.0801</t>
  </si>
  <si>
    <t>39.0801 Religious Institution Administration and Management.</t>
  </si>
  <si>
    <t>39.0802</t>
  </si>
  <si>
    <t>39.0802 Religious/Canon Law.</t>
  </si>
  <si>
    <t>39.0899</t>
  </si>
  <si>
    <t>39.0899 Religious Institution Administration and Law, Other.</t>
  </si>
  <si>
    <t>39.99</t>
  </si>
  <si>
    <t>39.9999</t>
  </si>
  <si>
    <t>39.9999 Theology and Religious Vocations, Other.</t>
  </si>
  <si>
    <t>40</t>
  </si>
  <si>
    <t>40.01</t>
  </si>
  <si>
    <t>40.0101</t>
  </si>
  <si>
    <t>40.0101 Physical Sciences, General.</t>
  </si>
  <si>
    <t>40.02</t>
  </si>
  <si>
    <t>40.0201</t>
  </si>
  <si>
    <t>40.0201 Astronomy.</t>
  </si>
  <si>
    <t>40.0202</t>
  </si>
  <si>
    <t>40.0202 Astrophysics.</t>
  </si>
  <si>
    <t>40.0203</t>
  </si>
  <si>
    <t>40.0203 Planetary Astronomy and Science.</t>
  </si>
  <si>
    <t>40.0299</t>
  </si>
  <si>
    <t>40.0299 Astronomy and Astrophysics, Other.</t>
  </si>
  <si>
    <t>40.04</t>
  </si>
  <si>
    <t>40.0401</t>
  </si>
  <si>
    <t>40.0401 Atmospheric Sciences and Meteorology, General.</t>
  </si>
  <si>
    <t>40.0402</t>
  </si>
  <si>
    <t>40.0402 Atmospheric Chemistry and Climatology.</t>
  </si>
  <si>
    <t>40.0403</t>
  </si>
  <si>
    <t>40.0403 Atmospheric Physics and Dynamics.</t>
  </si>
  <si>
    <t>40.0404</t>
  </si>
  <si>
    <t>40.0404 Meteorology.</t>
  </si>
  <si>
    <t>40.0499</t>
  </si>
  <si>
    <t>40.0499 Atmospheric Sciences and Meteorology, Other.</t>
  </si>
  <si>
    <t>40.05</t>
  </si>
  <si>
    <t>40.0501</t>
  </si>
  <si>
    <t>40.0501 Chemistry, General.</t>
  </si>
  <si>
    <t>40.0502</t>
  </si>
  <si>
    <t>40.0502 Analytical Chemistry.</t>
  </si>
  <si>
    <t>40.0503</t>
  </si>
  <si>
    <t>40.0503 Inorganic Chemistry.</t>
  </si>
  <si>
    <t>40.0504</t>
  </si>
  <si>
    <t>40.0504 Organic Chemistry.</t>
  </si>
  <si>
    <t>40.0506</t>
  </si>
  <si>
    <t>40.0506 Physical Chemistry.</t>
  </si>
  <si>
    <t>40.0507</t>
  </si>
  <si>
    <t>40.0507 Polymer Chemistry.</t>
  </si>
  <si>
    <t>40.0508</t>
  </si>
  <si>
    <t>40.0508 Chemical Physics.</t>
  </si>
  <si>
    <t>40.0509</t>
  </si>
  <si>
    <t>40.0509 Environmental Chemistry.</t>
  </si>
  <si>
    <t>40.0510</t>
  </si>
  <si>
    <t>40.0510 Forensic Chemistry.</t>
  </si>
  <si>
    <t>40.0511</t>
  </si>
  <si>
    <t>40.0511 Theoretical Chemistry.</t>
  </si>
  <si>
    <t>40.0512</t>
  </si>
  <si>
    <t>40.0512 Cheminformatics/Chemistry Informatics.</t>
  </si>
  <si>
    <t>40.0599</t>
  </si>
  <si>
    <t>40.0599 Chemistry, Other.</t>
  </si>
  <si>
    <t>40.06</t>
  </si>
  <si>
    <t>40.0601</t>
  </si>
  <si>
    <t>40.0601 Geology/Earth Science, General.</t>
  </si>
  <si>
    <t>40.0602</t>
  </si>
  <si>
    <t>40.0602 Geochemistry.</t>
  </si>
  <si>
    <t>40.0603</t>
  </si>
  <si>
    <t>40.0603 Geophysics and Seismology.</t>
  </si>
  <si>
    <t>40.0604</t>
  </si>
  <si>
    <t>40.0604 Paleontology.</t>
  </si>
  <si>
    <t>40.0605</t>
  </si>
  <si>
    <t>40.0605 Hydrology and Water Resources Science.</t>
  </si>
  <si>
    <t>40.0606</t>
  </si>
  <si>
    <t>40.0606 Geochemistry and Petrology.</t>
  </si>
  <si>
    <t>40.0607</t>
  </si>
  <si>
    <t>40.0607 Oceanography, Chemical and Physical.</t>
  </si>
  <si>
    <t>40.0699</t>
  </si>
  <si>
    <t>40.0699 Geological and Earth Sciences/Geosciences, Other.</t>
  </si>
  <si>
    <t>40.08</t>
  </si>
  <si>
    <t>40.0801</t>
  </si>
  <si>
    <t>40.0801 Physics, General.</t>
  </si>
  <si>
    <t>40.0802</t>
  </si>
  <si>
    <t>40.0802 Atomic/Molecular Physics.</t>
  </si>
  <si>
    <t>40.0804</t>
  </si>
  <si>
    <t>40.0804 Elementary Particle Physics.</t>
  </si>
  <si>
    <t>40.0805</t>
  </si>
  <si>
    <t>40.0805 Plasma and High-Temperature Physics.</t>
  </si>
  <si>
    <t>40.0806</t>
  </si>
  <si>
    <t>40.0806 Nuclear Physics.</t>
  </si>
  <si>
    <t>40.0807</t>
  </si>
  <si>
    <t>40.0807 Optics/Optical Sciences.</t>
  </si>
  <si>
    <t>40.0808</t>
  </si>
  <si>
    <t>40.0808 Condensed Matter and Materials Physics.</t>
  </si>
  <si>
    <t>40.0809</t>
  </si>
  <si>
    <t>40.0809 Acoustics.</t>
  </si>
  <si>
    <t>40.0810</t>
  </si>
  <si>
    <t>40.0810 Theoretical and Mathematical Physics.</t>
  </si>
  <si>
    <t>40.0899</t>
  </si>
  <si>
    <t>40.0899 Physics, Other.</t>
  </si>
  <si>
    <t>40.10</t>
  </si>
  <si>
    <t>40.1001</t>
  </si>
  <si>
    <t>40.1001 Materials Science.</t>
  </si>
  <si>
    <t>40.1002</t>
  </si>
  <si>
    <t>40.1002 Materials Chemistry.</t>
  </si>
  <si>
    <t>40.1099</t>
  </si>
  <si>
    <t>40.1099 Materials Sciences, Other.</t>
  </si>
  <si>
    <t>40.11</t>
  </si>
  <si>
    <t>40.1101</t>
  </si>
  <si>
    <t>40.1101 Physics and Astronomy.</t>
  </si>
  <si>
    <t>40.99</t>
  </si>
  <si>
    <t>40.9999</t>
  </si>
  <si>
    <t>40.9999 Physical Sciences, Other.</t>
  </si>
  <si>
    <t>41.00</t>
  </si>
  <si>
    <t>41</t>
  </si>
  <si>
    <t>41.0000</t>
  </si>
  <si>
    <t>41.0000 Science Technologies/Technicians, General.</t>
  </si>
  <si>
    <t>41.01</t>
  </si>
  <si>
    <t>41.0101</t>
  </si>
  <si>
    <t>41.0101 Biology/Biotechnology Technology/Technician.</t>
  </si>
  <si>
    <t>41.02</t>
  </si>
  <si>
    <t>41.0204</t>
  </si>
  <si>
    <t>41.0204 Industrial Radiologic Technology/Technician.</t>
  </si>
  <si>
    <t>41.0205</t>
  </si>
  <si>
    <t>41.0205 Nuclear/Nuclear Power Technology/Technician.</t>
  </si>
  <si>
    <t>41.0299</t>
  </si>
  <si>
    <t>41.0299 Nuclear and Industrial Radiologic Technologies/Technicians, Other.</t>
  </si>
  <si>
    <t>41.03</t>
  </si>
  <si>
    <t>41.0301</t>
  </si>
  <si>
    <t>41.0301 Chemical Technology/Technician.</t>
  </si>
  <si>
    <t>41.0303</t>
  </si>
  <si>
    <t>41.0303 Chemical Process Technology.</t>
  </si>
  <si>
    <t>41.0399</t>
  </si>
  <si>
    <t>41.0399 Physical Science Technologies/Technicians, Other.</t>
  </si>
  <si>
    <t>41.99</t>
  </si>
  <si>
    <t>41.9999</t>
  </si>
  <si>
    <t>41.9999 Science Technologies/Technicians, Other.</t>
  </si>
  <si>
    <t>42</t>
  </si>
  <si>
    <t>42.01</t>
  </si>
  <si>
    <t>42.0101</t>
  </si>
  <si>
    <t>42.0101 Psychology, General.</t>
  </si>
  <si>
    <t>42.27</t>
  </si>
  <si>
    <t>42.2701</t>
  </si>
  <si>
    <t>42.2701 Cognitive Psychology and Psycholinguistics.</t>
  </si>
  <si>
    <t>42.2702</t>
  </si>
  <si>
    <t>42.2702 Comparative Psychology.</t>
  </si>
  <si>
    <t>42.2703</t>
  </si>
  <si>
    <t>42.2703 Developmental and Child Psychology.</t>
  </si>
  <si>
    <t>42.2704</t>
  </si>
  <si>
    <t>42.2704 Experimental Psychology.</t>
  </si>
  <si>
    <t>42.2705</t>
  </si>
  <si>
    <t>42.2705 Personality Psychology.</t>
  </si>
  <si>
    <t>42.2706</t>
  </si>
  <si>
    <t>42.2706 Behavioral Neuroscience.</t>
  </si>
  <si>
    <t>42.2707</t>
  </si>
  <si>
    <t>42.2707 Social Psychology.</t>
  </si>
  <si>
    <t>42.2708</t>
  </si>
  <si>
    <t>42.2708 Psychometrics and Quantitative Psychology.</t>
  </si>
  <si>
    <t>42.2709</t>
  </si>
  <si>
    <t>42.2709 Psychopharmacology.</t>
  </si>
  <si>
    <t>42.2710</t>
  </si>
  <si>
    <t>42.2710 Developmental and Adolescent Psychology.</t>
  </si>
  <si>
    <t>42.2799</t>
  </si>
  <si>
    <t>42.2799 Research and Experimental Psychology, Other.</t>
  </si>
  <si>
    <t>42.28</t>
  </si>
  <si>
    <t>42.2801</t>
  </si>
  <si>
    <t>42.2801 Clinical Psychology.</t>
  </si>
  <si>
    <t>42.2802</t>
  </si>
  <si>
    <t>42.2802 Community Psychology.</t>
  </si>
  <si>
    <t>42.2803</t>
  </si>
  <si>
    <t>42.2803 Counseling Psychology.</t>
  </si>
  <si>
    <t>42.2804</t>
  </si>
  <si>
    <t>42.2804 Industrial and Organizational Psychology.</t>
  </si>
  <si>
    <t>42.2805</t>
  </si>
  <si>
    <t>42.2805 School Psychology.</t>
  </si>
  <si>
    <t>42.2806</t>
  </si>
  <si>
    <t>42.2806 Educational Psychology.</t>
  </si>
  <si>
    <t>42.2807</t>
  </si>
  <si>
    <t>42.2807 Clinical Child Psychology.</t>
  </si>
  <si>
    <t>42.2808</t>
  </si>
  <si>
    <t>42.2808 Environmental Psychology.</t>
  </si>
  <si>
    <t>42.2809</t>
  </si>
  <si>
    <t>42.2809 Geropsychology.</t>
  </si>
  <si>
    <t>42.2810</t>
  </si>
  <si>
    <t>42.2810 Health/Medical Psychology.</t>
  </si>
  <si>
    <t>42.2811</t>
  </si>
  <si>
    <t>42.2811 Family Psychology.</t>
  </si>
  <si>
    <t>42.2812</t>
  </si>
  <si>
    <t>42.2812 Forensic Psychology.</t>
  </si>
  <si>
    <t>42.2813</t>
  </si>
  <si>
    <t>42.2813 Applied Psychology.</t>
  </si>
  <si>
    <t>42.2814</t>
  </si>
  <si>
    <t>42.2814 Applied Behavior Analysis.</t>
  </si>
  <si>
    <t>42.2815</t>
  </si>
  <si>
    <t>42.2815 Performance and Sport Psychology.</t>
  </si>
  <si>
    <t>42.2816</t>
  </si>
  <si>
    <t>42.2816 Somatic Psychology.</t>
  </si>
  <si>
    <t>42.2817</t>
  </si>
  <si>
    <t>42.2817 Transpersonal/Spiritual Psychology.</t>
  </si>
  <si>
    <t>42.2899</t>
  </si>
  <si>
    <t>42.2899 Clinical, Counseling and Applied Psychology, Other.</t>
  </si>
  <si>
    <t>42.99</t>
  </si>
  <si>
    <t>42.9999</t>
  </si>
  <si>
    <t>42.9999 Psychology, Other.</t>
  </si>
  <si>
    <t>43</t>
  </si>
  <si>
    <t>43.0100</t>
  </si>
  <si>
    <t>43.0100 Criminal Justice and Corrections, General.</t>
  </si>
  <si>
    <t>43.01</t>
  </si>
  <si>
    <t>43.0102</t>
  </si>
  <si>
    <t>43.0102 Corrections.</t>
  </si>
  <si>
    <t>43.0103</t>
  </si>
  <si>
    <t>43.0103 Criminal Justice/Law Enforcement Administration.</t>
  </si>
  <si>
    <t>43.0104</t>
  </si>
  <si>
    <t>43.0104 Criminal Justice/Safety Studies.</t>
  </si>
  <si>
    <t>43.0106</t>
  </si>
  <si>
    <t>43.0106 Forensic Science and Technology.</t>
  </si>
  <si>
    <t>43.0107</t>
  </si>
  <si>
    <t>43.0107 Criminal Justice/Police Science.</t>
  </si>
  <si>
    <t>43.0109</t>
  </si>
  <si>
    <t>43.0109 Security and Loss Prevention Services.</t>
  </si>
  <si>
    <t>43.0110</t>
  </si>
  <si>
    <t>43.0110 Juvenile Corrections.</t>
  </si>
  <si>
    <t>43.0111</t>
  </si>
  <si>
    <t>43.0111 Criminalistics and Criminal Science.</t>
  </si>
  <si>
    <t>43.0112</t>
  </si>
  <si>
    <t>43.0112 Securities Services Administration/Management.</t>
  </si>
  <si>
    <t>43.0113</t>
  </si>
  <si>
    <t>43.0113 Corrections Administration.</t>
  </si>
  <si>
    <t>43.0114</t>
  </si>
  <si>
    <t>43.0114 Law Enforcement Investigation and Interviewing.</t>
  </si>
  <si>
    <t>43.0115</t>
  </si>
  <si>
    <t>43.0115 Law Enforcement Record-Keeping and Evidence Management.</t>
  </si>
  <si>
    <t>43.0116</t>
  </si>
  <si>
    <t>43.0116 Cyber/Computer Forensics and Counterterrorism.</t>
  </si>
  <si>
    <t>43.0117</t>
  </si>
  <si>
    <t>43.0117 Financial Forensics and Fraud Investigation.</t>
  </si>
  <si>
    <t>43.0118</t>
  </si>
  <si>
    <t>43.0118 Law Enforcement Intelligence Analysis.</t>
  </si>
  <si>
    <t>43.0119</t>
  </si>
  <si>
    <t>43.0119 Critical Incident Response/Special Police Operations.</t>
  </si>
  <si>
    <t>43.0120</t>
  </si>
  <si>
    <t>43.0120 Protective Services Operations.</t>
  </si>
  <si>
    <t>43.0121</t>
  </si>
  <si>
    <t>43.0121 Suspension and Debarment Investigation.</t>
  </si>
  <si>
    <t>43.0122</t>
  </si>
  <si>
    <t>43.0122 Maritime Law Enforcement.</t>
  </si>
  <si>
    <t>43.0123</t>
  </si>
  <si>
    <t>43.0123 Cultural/Archaelogical Resources Protection.</t>
  </si>
  <si>
    <t>43.0199</t>
  </si>
  <si>
    <t>43.0199 Corrections and Criminal Justice, Other.</t>
  </si>
  <si>
    <t>43.02</t>
  </si>
  <si>
    <t>43.0201</t>
  </si>
  <si>
    <t>43.0201 Fire Prevention and Safety Technology/Technician.</t>
  </si>
  <si>
    <t>43.0202</t>
  </si>
  <si>
    <t>43.0202 Fire Services Administration.</t>
  </si>
  <si>
    <t>43.0203</t>
  </si>
  <si>
    <t>43.0203 Fire Science/Fire-fighting.</t>
  </si>
  <si>
    <t>43.0204</t>
  </si>
  <si>
    <t>43.0204 Fire Systems Technology.</t>
  </si>
  <si>
    <t>43.0205</t>
  </si>
  <si>
    <t>43.0205 Fire/Arson Investigation and Prevention.</t>
  </si>
  <si>
    <t>43.0206</t>
  </si>
  <si>
    <t>43.0206 Wildland/Forest Firefighting and Investigation.</t>
  </si>
  <si>
    <t>43.0299</t>
  </si>
  <si>
    <t>43.0299 Fire Protection, Other.</t>
  </si>
  <si>
    <t>43.03</t>
  </si>
  <si>
    <t>43.0301</t>
  </si>
  <si>
    <t>43.0301 Homeland Security.</t>
  </si>
  <si>
    <t>43.0302</t>
  </si>
  <si>
    <t>43.0302 Crisis/Emergency/Disaster Management.</t>
  </si>
  <si>
    <t>43.0303</t>
  </si>
  <si>
    <t>43.0303 Critical Infrastructure Protection.</t>
  </si>
  <si>
    <t>43.0304</t>
  </si>
  <si>
    <t>43.0304 Terrorism and Counterterrorism Operations.</t>
  </si>
  <si>
    <t>43.0399</t>
  </si>
  <si>
    <t>43.0399 Homeland Security, Other.</t>
  </si>
  <si>
    <t>43.04</t>
  </si>
  <si>
    <t>43.0401</t>
  </si>
  <si>
    <t>43.0401 Security Science and Technology, General.</t>
  </si>
  <si>
    <t>43.0402</t>
  </si>
  <si>
    <t>43.0402 Criminalistics and Criminal Science.</t>
  </si>
  <si>
    <t>43.0403</t>
  </si>
  <si>
    <t>43.0403 Cyber/Computer Forensics and Counterterrorism.</t>
  </si>
  <si>
    <t>43.0404</t>
  </si>
  <si>
    <t>43.0404 Cybersecurity Defense Strategy/Policy.</t>
  </si>
  <si>
    <t>43.0405</t>
  </si>
  <si>
    <t>43.0405 Financial Forensics and Fraud Investigation.</t>
  </si>
  <si>
    <t>43.0406</t>
  </si>
  <si>
    <t>43.0406 Forensic Science and Technology.</t>
  </si>
  <si>
    <t>43.0407</t>
  </si>
  <si>
    <t>43.0407 Geospatial Intelligence.</t>
  </si>
  <si>
    <t>43.0408</t>
  </si>
  <si>
    <t>43.0408 Law Enforcement Intelligence Analysis.</t>
  </si>
  <si>
    <t>43.0499</t>
  </si>
  <si>
    <t>43.0499 Security Science and Technology, Other.</t>
  </si>
  <si>
    <t>43.99</t>
  </si>
  <si>
    <t>43.9999</t>
  </si>
  <si>
    <t>43.9999 Homeland Security, Law Enforcement, Firefighting and Related Protective Services, Other.</t>
  </si>
  <si>
    <t>44.00</t>
  </si>
  <si>
    <t>44</t>
  </si>
  <si>
    <t>44.0000</t>
  </si>
  <si>
    <t>44.0000 Human Services, General.</t>
  </si>
  <si>
    <t>44.02</t>
  </si>
  <si>
    <t>44.0201</t>
  </si>
  <si>
    <t>44.0201 Community Organization and Advocacy.</t>
  </si>
  <si>
    <t>44.04</t>
  </si>
  <si>
    <t>44.0401</t>
  </si>
  <si>
    <t>44.0401 Public Administration.</t>
  </si>
  <si>
    <t>44.0402</t>
  </si>
  <si>
    <t>44.0402 Public Works Management.</t>
  </si>
  <si>
    <t>44.0403</t>
  </si>
  <si>
    <t>44.0403 Transportation and Infrastructure Planning/Studies.</t>
  </si>
  <si>
    <t>44.0499</t>
  </si>
  <si>
    <t>44.0499 Public Administration, Other.</t>
  </si>
  <si>
    <t>44.05</t>
  </si>
  <si>
    <t>44.0501</t>
  </si>
  <si>
    <t>44.0501 Public Policy Analysis, General.</t>
  </si>
  <si>
    <t>44.0502</t>
  </si>
  <si>
    <t>44.0502 Education Policy Analysis.</t>
  </si>
  <si>
    <t>44.0503</t>
  </si>
  <si>
    <t>44.0503 Health Policy Analysis.</t>
  </si>
  <si>
    <t>44.0504</t>
  </si>
  <si>
    <t>44.0504 International Policy Analysis.</t>
  </si>
  <si>
    <t>44.0580</t>
  </si>
  <si>
    <t>44.0580 Reserved.</t>
  </si>
  <si>
    <t>44.0599</t>
  </si>
  <si>
    <t>44.0599 Public Policy Analysis, Other.</t>
  </si>
  <si>
    <t>44.07</t>
  </si>
  <si>
    <t>44.0701</t>
  </si>
  <si>
    <t>44.0701 Social Work.</t>
  </si>
  <si>
    <t>44.0702</t>
  </si>
  <si>
    <t>44.0702 Youth Services/Administration.</t>
  </si>
  <si>
    <t>44.0703</t>
  </si>
  <si>
    <t>44.0703 Forensic Social Work.</t>
  </si>
  <si>
    <t>44.0799</t>
  </si>
  <si>
    <t>44.0799 Social Work, Other.</t>
  </si>
  <si>
    <t>44.99</t>
  </si>
  <si>
    <t>44.9999</t>
  </si>
  <si>
    <t>44.9999 Public Administration and Social Service Professions, Other.</t>
  </si>
  <si>
    <t>45</t>
  </si>
  <si>
    <t>45.01</t>
  </si>
  <si>
    <t>45.0101</t>
  </si>
  <si>
    <t>45.0101 Social Sciences, General.</t>
  </si>
  <si>
    <t>45.0102</t>
  </si>
  <si>
    <t>45.0102 Research Methodology and Quantitative Methods.</t>
  </si>
  <si>
    <t>45.0103</t>
  </si>
  <si>
    <t>45.0103 Survey Research/Methodology.</t>
  </si>
  <si>
    <t>45.0199</t>
  </si>
  <si>
    <t>45.0199 Social Sciences, Other.</t>
  </si>
  <si>
    <t>45.02</t>
  </si>
  <si>
    <t>45.0201</t>
  </si>
  <si>
    <t>45.0201 Anthropology, General.</t>
  </si>
  <si>
    <t>45.0202</t>
  </si>
  <si>
    <t>45.0202 Physical and Biological Anthropology.</t>
  </si>
  <si>
    <t>45.0203</t>
  </si>
  <si>
    <t>45.0203 Medical Anthropology.</t>
  </si>
  <si>
    <t>45.0204</t>
  </si>
  <si>
    <t>45.0204 Cultural Anthropology.</t>
  </si>
  <si>
    <t>45.0205</t>
  </si>
  <si>
    <t>45.0205 Forensic Anthropology.</t>
  </si>
  <si>
    <t>45.0299</t>
  </si>
  <si>
    <t>45.0299 Anthropology, Other.</t>
  </si>
  <si>
    <t>45.03</t>
  </si>
  <si>
    <t>45.0301</t>
  </si>
  <si>
    <t>45.0301 Archeology.</t>
  </si>
  <si>
    <t>45.04</t>
  </si>
  <si>
    <t>45.0401</t>
  </si>
  <si>
    <t>45.0401 Criminology.</t>
  </si>
  <si>
    <t>45.05</t>
  </si>
  <si>
    <t>45.0501</t>
  </si>
  <si>
    <t>45.0501 Demography and Population Studies.</t>
  </si>
  <si>
    <t>45.0502</t>
  </si>
  <si>
    <t>45.0502 Applied Demography.</t>
  </si>
  <si>
    <t>45.0599</t>
  </si>
  <si>
    <t>45.0599 Demography, Other.</t>
  </si>
  <si>
    <t>45.06</t>
  </si>
  <si>
    <t>45.0601</t>
  </si>
  <si>
    <t>45.0601 Economics, General.</t>
  </si>
  <si>
    <t>45.0602</t>
  </si>
  <si>
    <t>45.0602 Applied Economics.</t>
  </si>
  <si>
    <t>45.0603</t>
  </si>
  <si>
    <t>45.0603 Econometrics and Quantitative Economics.</t>
  </si>
  <si>
    <t>45.0604</t>
  </si>
  <si>
    <t>45.0604 Development Economics and International Development.</t>
  </si>
  <si>
    <t>45.0605</t>
  </si>
  <si>
    <t>45.0605 International Economics.</t>
  </si>
  <si>
    <t>45.0699</t>
  </si>
  <si>
    <t>45.0699 Economics, Other.</t>
  </si>
  <si>
    <t>45.07</t>
  </si>
  <si>
    <t>45.0701</t>
  </si>
  <si>
    <t>45.0701 Geography.</t>
  </si>
  <si>
    <t>45.0702</t>
  </si>
  <si>
    <t>45.0702 Geographic Information Science and Cartography.</t>
  </si>
  <si>
    <t>45.0799</t>
  </si>
  <si>
    <t>45.0799 Geography, Other.</t>
  </si>
  <si>
    <t>45.09</t>
  </si>
  <si>
    <t>45.0901</t>
  </si>
  <si>
    <t>45.0901 International Relations and Affairs.</t>
  </si>
  <si>
    <t>45.0902</t>
  </si>
  <si>
    <t>45.0902 National Security Policy Studies.</t>
  </si>
  <si>
    <t>45.0999</t>
  </si>
  <si>
    <t>45.0999 International Relations and National Security Studies, Other.</t>
  </si>
  <si>
    <t>45.10</t>
  </si>
  <si>
    <t>45.1001</t>
  </si>
  <si>
    <t>45.1001 Political Science and Government, General.</t>
  </si>
  <si>
    <t>45.1002</t>
  </si>
  <si>
    <t>45.1002 American Government and Politics (United States).</t>
  </si>
  <si>
    <t>45.1003</t>
  </si>
  <si>
    <t>45.1003 Canadian Government and Politics.</t>
  </si>
  <si>
    <t>45.1004</t>
  </si>
  <si>
    <t>45.1004 Political Economy.</t>
  </si>
  <si>
    <t>45.1099</t>
  </si>
  <si>
    <t>45.1099 Political Science and Government, Other.</t>
  </si>
  <si>
    <t>45.11</t>
  </si>
  <si>
    <t>45.1101</t>
  </si>
  <si>
    <t>45.1101 Sociology, General.</t>
  </si>
  <si>
    <t>45.1102</t>
  </si>
  <si>
    <t>45.1102 Applied/Public Sociology.</t>
  </si>
  <si>
    <t>45.1103</t>
  </si>
  <si>
    <t>45.1103 Rural Sociology.</t>
  </si>
  <si>
    <t>45.1199</t>
  </si>
  <si>
    <t>45.1199 Sociology, Other.</t>
  </si>
  <si>
    <t>45.12</t>
  </si>
  <si>
    <t>45.1201</t>
  </si>
  <si>
    <t>45.1201 Urban Studies/Affairs.</t>
  </si>
  <si>
    <t>45.13</t>
  </si>
  <si>
    <t>45.1301</t>
  </si>
  <si>
    <t>45.1301 Sociology and Anthropology.</t>
  </si>
  <si>
    <t>45.14</t>
  </si>
  <si>
    <t>45.1401</t>
  </si>
  <si>
    <t>45.1401 Rural Sociology.</t>
  </si>
  <si>
    <t>45.15</t>
  </si>
  <si>
    <t>45.1501</t>
  </si>
  <si>
    <t>45.1501 Geography and Anthropology.</t>
  </si>
  <si>
    <t>45.99</t>
  </si>
  <si>
    <t>45.9999</t>
  </si>
  <si>
    <t>45.9999 Social Sciences, Other.</t>
  </si>
  <si>
    <t>46.00</t>
  </si>
  <si>
    <t>46</t>
  </si>
  <si>
    <t>46.0000</t>
  </si>
  <si>
    <t>46.0000 Construction Trades, General.</t>
  </si>
  <si>
    <t>46.01</t>
  </si>
  <si>
    <t>46.0101</t>
  </si>
  <si>
    <t>46.0101 Mason/Masonry.</t>
  </si>
  <si>
    <t>46.02</t>
  </si>
  <si>
    <t>46.0201</t>
  </si>
  <si>
    <t>46.0201 Carpentry/Carpenter.</t>
  </si>
  <si>
    <t>46.03</t>
  </si>
  <si>
    <t>46.0301</t>
  </si>
  <si>
    <t>46.0301 Electrical and Power Transmission Installation/Installer, General.</t>
  </si>
  <si>
    <t>46.0302</t>
  </si>
  <si>
    <t>46.0302 Electrician.</t>
  </si>
  <si>
    <t>46.0303</t>
  </si>
  <si>
    <t>46.0303 Lineworker.</t>
  </si>
  <si>
    <t>46.0399</t>
  </si>
  <si>
    <t>46.0399 Electrical and Power Transmission Installers, Other.</t>
  </si>
  <si>
    <t>46.04</t>
  </si>
  <si>
    <t>46.0401</t>
  </si>
  <si>
    <t>46.0401 Building/Property Maintenance.</t>
  </si>
  <si>
    <t>46.0402</t>
  </si>
  <si>
    <t>46.0402 Concrete Finishing/Concrete Finisher.</t>
  </si>
  <si>
    <t>46.0403</t>
  </si>
  <si>
    <t>46.0403 Building/Home/Construction Inspection/Inspector.</t>
  </si>
  <si>
    <t>46.0404</t>
  </si>
  <si>
    <t>46.0404 Drywall Installation/Drywaller.</t>
  </si>
  <si>
    <t>46.0406</t>
  </si>
  <si>
    <t>46.0406 Glazier.</t>
  </si>
  <si>
    <t>46.0408</t>
  </si>
  <si>
    <t>46.0408 Painting/Painter and Wall Coverer.</t>
  </si>
  <si>
    <t>46.0410</t>
  </si>
  <si>
    <t>46.0410 Roofer.</t>
  </si>
  <si>
    <t>46.0411</t>
  </si>
  <si>
    <t>46.0411 Metal Building Assembly/Assembler.</t>
  </si>
  <si>
    <t>46.0412</t>
  </si>
  <si>
    <t>46.0412 Building/Construction Site Management/Manager.</t>
  </si>
  <si>
    <t>46.0413</t>
  </si>
  <si>
    <t>46.0413 Carpet, Floor, and Tile Worker.</t>
  </si>
  <si>
    <t>46.0414</t>
  </si>
  <si>
    <t>46.0414 Insulator.</t>
  </si>
  <si>
    <t>46.0415</t>
  </si>
  <si>
    <t>46.0415 Building Construction Technology/Technician.</t>
  </si>
  <si>
    <t>46.0499</t>
  </si>
  <si>
    <t>46.0499 Building/Construction Finishing, Management, and Inspection, Other.</t>
  </si>
  <si>
    <t>46.05</t>
  </si>
  <si>
    <t>46.0502</t>
  </si>
  <si>
    <t>46.0502 Pipefitting/Pipefitter and Sprinkler Fitter.</t>
  </si>
  <si>
    <t>46.0503</t>
  </si>
  <si>
    <t>46.0503 Plumbing Technology/Plumber.</t>
  </si>
  <si>
    <t>46.0504</t>
  </si>
  <si>
    <t>46.0504 Well Drilling/Driller.</t>
  </si>
  <si>
    <t>46.0505</t>
  </si>
  <si>
    <t>46.0505 Blasting/Blaster.</t>
  </si>
  <si>
    <t>46.0599</t>
  </si>
  <si>
    <t>46.0599 Plumbing and Related Water Supply Services, Other.</t>
  </si>
  <si>
    <t>46.99</t>
  </si>
  <si>
    <t>46.9999</t>
  </si>
  <si>
    <t>46.9999 Construction Trades, Other.</t>
  </si>
  <si>
    <t>47</t>
  </si>
  <si>
    <t>47.00</t>
  </si>
  <si>
    <t>47.0000</t>
  </si>
  <si>
    <t>47.0000 Mechanics and Repairers, General.</t>
  </si>
  <si>
    <t>47.01</t>
  </si>
  <si>
    <t>47.0101</t>
  </si>
  <si>
    <t>47.0101 Electrical/Electronics Equipment Installation and Repair Technology/Technician, General.</t>
  </si>
  <si>
    <t>47.0102</t>
  </si>
  <si>
    <t>47.0102 Business Machine Repair.</t>
  </si>
  <si>
    <t>47.0103</t>
  </si>
  <si>
    <t>47.0103 Communications Systems Installation and Repair Technology/Technician.</t>
  </si>
  <si>
    <t>47.0104</t>
  </si>
  <si>
    <t>47.0104 Computer Installation and Repair Technology/Technician.</t>
  </si>
  <si>
    <t>47.0105</t>
  </si>
  <si>
    <t>47.0105 Industrial Electronics Technology/Technician.</t>
  </si>
  <si>
    <t>47.0106</t>
  </si>
  <si>
    <t>47.0106 Appliance Installation and Repair Technology/Technician.</t>
  </si>
  <si>
    <t>47.0110</t>
  </si>
  <si>
    <t>47.0110 Security System Installation, Repair, and Inspection Technology/Technician.</t>
  </si>
  <si>
    <t>47.0199</t>
  </si>
  <si>
    <t>47.0199 Electrical/Electronics Maintenance and Repair Technologies/Technicians, Other.</t>
  </si>
  <si>
    <t>47.02</t>
  </si>
  <si>
    <t>47.0201</t>
  </si>
  <si>
    <t>47.0201 Heating, Air Conditioning, Ventilation and Refrigeration Maintenance Technology/Technician.</t>
  </si>
  <si>
    <t>47.03</t>
  </si>
  <si>
    <t>47.0302</t>
  </si>
  <si>
    <t>47.0302 Heavy Equipment Maintenance Technology/Technician.</t>
  </si>
  <si>
    <t>47.0303</t>
  </si>
  <si>
    <t>47.0303 Industrial Mechanics and Maintenance Technology/Technician.</t>
  </si>
  <si>
    <t>47.0399</t>
  </si>
  <si>
    <t>47.0399 Heavy/Industrial Equipment Maintenance Technologies/Technicians, Other.</t>
  </si>
  <si>
    <t>47.04</t>
  </si>
  <si>
    <t>47.0402</t>
  </si>
  <si>
    <t>47.0402 Gunsmithing/Gunsmith.</t>
  </si>
  <si>
    <t>47.0403</t>
  </si>
  <si>
    <t>47.0403 Locksmithing and Safe Repair.</t>
  </si>
  <si>
    <t>47.0404</t>
  </si>
  <si>
    <t>47.0404 Musical Instrument Fabrication and Repair.</t>
  </si>
  <si>
    <t>47.0408</t>
  </si>
  <si>
    <t>47.0408 Watchmaking and Jewelrymaking.</t>
  </si>
  <si>
    <t>47.0409</t>
  </si>
  <si>
    <t>47.0409 Parts and Warehousing Operations and Maintenance Technology/Technician.</t>
  </si>
  <si>
    <t>47.0499</t>
  </si>
  <si>
    <t>47.0499 Precision Systems Maintenance and Repair Technologies/Technicians, Other.</t>
  </si>
  <si>
    <t>47.06</t>
  </si>
  <si>
    <t>47.0600</t>
  </si>
  <si>
    <t>47.0600 Vehicle Maintenance and Repair Technology/Technician, General.</t>
  </si>
  <si>
    <t>47.0603</t>
  </si>
  <si>
    <t>47.0603 Autobody/Collision and Repair Technology/Technician.</t>
  </si>
  <si>
    <t>47.0604</t>
  </si>
  <si>
    <t>47.0604 Automobile/Automotive Mechanics Technology/Technician.</t>
  </si>
  <si>
    <t>47.0605</t>
  </si>
  <si>
    <t>47.0605 Diesel Mechanics Technology/Technician.</t>
  </si>
  <si>
    <t>47.0606</t>
  </si>
  <si>
    <t>47.0606 Small Engine Mechanics and Repair Technology/Technician.</t>
  </si>
  <si>
    <t>47.0607</t>
  </si>
  <si>
    <t>47.0607 Airframe Mechanics and Aircraft Maintenance Technology/Technician.</t>
  </si>
  <si>
    <t>47.0608</t>
  </si>
  <si>
    <t>47.0608 Aircraft Powerplant Technology/Technician.</t>
  </si>
  <si>
    <t>47.0609</t>
  </si>
  <si>
    <t>47.0609 Avionics Maintenance Technology/Technician.</t>
  </si>
  <si>
    <t>47.0610</t>
  </si>
  <si>
    <t>47.0610 Bicycle Mechanics and Repair Technology/Technician.</t>
  </si>
  <si>
    <t>47.0611</t>
  </si>
  <si>
    <t>47.0611 Motorcycle Maintenance and Repair Technology/Technician.</t>
  </si>
  <si>
    <t>47.0612</t>
  </si>
  <si>
    <t>47.0612 Vehicle Emissions Inspection and Maintenance Technology/Technician.</t>
  </si>
  <si>
    <t>47.0613</t>
  </si>
  <si>
    <t>47.0613 Medium/Heavy Vehicle and Truck Technology/Technician.</t>
  </si>
  <si>
    <t>47.0614</t>
  </si>
  <si>
    <t>47.0614 Alternative Fuel Vehicle Technology/Technician.</t>
  </si>
  <si>
    <t>47.0615</t>
  </si>
  <si>
    <t>47.0615 Engine Machinist.</t>
  </si>
  <si>
    <t>47.0616</t>
  </si>
  <si>
    <t>47.0616 Marine Maintenance/Fitter and Ship Repair Technology/Technician.</t>
  </si>
  <si>
    <t>47.0617</t>
  </si>
  <si>
    <t>47.0617 High Performance and Custom Engine Technician/Mechanic.</t>
  </si>
  <si>
    <t>47.0618</t>
  </si>
  <si>
    <t>47.0618 Recreation Vehicle (RV) Service Technician.</t>
  </si>
  <si>
    <t>47.0699</t>
  </si>
  <si>
    <t>47.0699 Vehicle Maintenance and Repair Technologies/Technicians, Other.</t>
  </si>
  <si>
    <t>47.07</t>
  </si>
  <si>
    <t>47.0701</t>
  </si>
  <si>
    <t>47.0701 Energy Systems Installation and Repair Technology/Technician.</t>
  </si>
  <si>
    <t>47.0703</t>
  </si>
  <si>
    <t>47.0703 Solar Energy System Installation and Repair Technology/Technician.</t>
  </si>
  <si>
    <t>47.0704</t>
  </si>
  <si>
    <t>47.0704 Wind Energy System Installation and Repair Technology/Technician.</t>
  </si>
  <si>
    <t>47.0705</t>
  </si>
  <si>
    <t>47.0705 Hydroelectric Energy System Installation and Repair Technology/Technician.</t>
  </si>
  <si>
    <t>47.0706</t>
  </si>
  <si>
    <t>47.0706 Geothermal Energy System Installation and Repair Technology/Technician.</t>
  </si>
  <si>
    <t>47.0799</t>
  </si>
  <si>
    <t>47.0799 Energy Systems Maintenance and Repair Technologies/Technicians, Other.</t>
  </si>
  <si>
    <t>47.99</t>
  </si>
  <si>
    <t>47.9999</t>
  </si>
  <si>
    <t>47.9999 Mechanic and Repair Technologies/Technicians, Other.</t>
  </si>
  <si>
    <t>48.00</t>
  </si>
  <si>
    <t>48</t>
  </si>
  <si>
    <t>48.0000</t>
  </si>
  <si>
    <t>48.0000 Precision Production Trades, General.</t>
  </si>
  <si>
    <t>48.03</t>
  </si>
  <si>
    <t>48.0303</t>
  </si>
  <si>
    <t>48.0303 Upholstery/Upholsterer.</t>
  </si>
  <si>
    <t>48.0304</t>
  </si>
  <si>
    <t>48.0304 Shoe, Boot and Leather Repair.</t>
  </si>
  <si>
    <t>48.0399</t>
  </si>
  <si>
    <t>48.0399 Leatherworking and Upholstery, Other.</t>
  </si>
  <si>
    <t>48.05</t>
  </si>
  <si>
    <t>48.0501</t>
  </si>
  <si>
    <t>48.0501 Machine Tool Technology/Machinist.</t>
  </si>
  <si>
    <t>48.0503</t>
  </si>
  <si>
    <t>48.0503 Machine Shop Technology/Assistant.</t>
  </si>
  <si>
    <t>48.0506</t>
  </si>
  <si>
    <t>48.0506 Sheet Metal Technology/Sheetworking.</t>
  </si>
  <si>
    <t>48.0507</t>
  </si>
  <si>
    <t>48.0507 Tool and Die Technology/Technician.</t>
  </si>
  <si>
    <t>48.0508</t>
  </si>
  <si>
    <t>48.0508 Welding Technology/Welder.</t>
  </si>
  <si>
    <t>48.0509</t>
  </si>
  <si>
    <t>48.0509 Ironworking/Ironworker.</t>
  </si>
  <si>
    <t>48.0510</t>
  </si>
  <si>
    <t>48.0510 Computer Numerically Controlled (CNC) Machinist Technology/CNC Machinist.</t>
  </si>
  <si>
    <t>48.0511</t>
  </si>
  <si>
    <t>48.0511 Metal Fabricator.</t>
  </si>
  <si>
    <t>48.0599</t>
  </si>
  <si>
    <t>48.0599 Precision Metal Working, Other.</t>
  </si>
  <si>
    <t>48.07</t>
  </si>
  <si>
    <t>48.0701</t>
  </si>
  <si>
    <t>48.0701 Woodworking, General.</t>
  </si>
  <si>
    <t>48.0702</t>
  </si>
  <si>
    <t>48.0702 Furniture Design and Manufacturing.</t>
  </si>
  <si>
    <t>48.0703</t>
  </si>
  <si>
    <t>48.0703 Cabinetmaking and Millwork.</t>
  </si>
  <si>
    <t>48.0704</t>
  </si>
  <si>
    <t>48.0704 Wooden Boatbuilding Technology/Technician.</t>
  </si>
  <si>
    <t>48.0799</t>
  </si>
  <si>
    <t>48.0799 Woodworking, Other.</t>
  </si>
  <si>
    <t>48.08</t>
  </si>
  <si>
    <t>48.0801</t>
  </si>
  <si>
    <t>48.0801 Boilermaking/Boilermaker.</t>
  </si>
  <si>
    <t>48.99</t>
  </si>
  <si>
    <t>48.9999</t>
  </si>
  <si>
    <t>48.9999 Precision Production, Other.</t>
  </si>
  <si>
    <t>49</t>
  </si>
  <si>
    <t>49.01</t>
  </si>
  <si>
    <t>49.0101</t>
  </si>
  <si>
    <t>49.0101 Aeronautics/Aviation/Aerospace Science and Technology, General.</t>
  </si>
  <si>
    <t>49.0102</t>
  </si>
  <si>
    <t>49.0102 Airline/Commercial/Professional Pilot and Flight Crew.</t>
  </si>
  <si>
    <t>49.0104</t>
  </si>
  <si>
    <t>49.0104 Aviation/Airway Management and Operations.</t>
  </si>
  <si>
    <t>49.0105</t>
  </si>
  <si>
    <t>49.0105 Air Traffic Controller.</t>
  </si>
  <si>
    <t>49.0106</t>
  </si>
  <si>
    <t>49.0106 Airline Flight Attendant.</t>
  </si>
  <si>
    <t>49.0108</t>
  </si>
  <si>
    <t>49.0108 Flight Instructor.</t>
  </si>
  <si>
    <t>49.0109</t>
  </si>
  <si>
    <t>49.0109 Remote Aircraft Pilot.</t>
  </si>
  <si>
    <t>49.0199</t>
  </si>
  <si>
    <t>49.0199 Air Transportation, Other.</t>
  </si>
  <si>
    <t>49.02</t>
  </si>
  <si>
    <t>49.0202</t>
  </si>
  <si>
    <t>49.0202 Construction/Heavy Equipment/Earthmoving Equipment Operation.</t>
  </si>
  <si>
    <t>49.0205</t>
  </si>
  <si>
    <t>49.0205 Truck and Bus Driver/Commercial Vehicle Operator and Instructor.</t>
  </si>
  <si>
    <t>49.0206</t>
  </si>
  <si>
    <t>49.0206 Mobil Crane Operator/Operation.</t>
  </si>
  <si>
    <t>49.0207</t>
  </si>
  <si>
    <t>49.0207 Flagging and Traffic Control.</t>
  </si>
  <si>
    <t>49.0208</t>
  </si>
  <si>
    <t>49.0208 Railroad and Railway Transportation.</t>
  </si>
  <si>
    <t>49.0209</t>
  </si>
  <si>
    <t>49.0209 Forklift Operation/Operator.</t>
  </si>
  <si>
    <t>49.0299</t>
  </si>
  <si>
    <t>49.0299 Ground Transportation, Other.</t>
  </si>
  <si>
    <t>49.03</t>
  </si>
  <si>
    <t>49.0303</t>
  </si>
  <si>
    <t>49.0303 Commercial Fishing.</t>
  </si>
  <si>
    <t>49.0304</t>
  </si>
  <si>
    <t>49.0304 Diver, Professional and Instructor.</t>
  </si>
  <si>
    <t>49.0309</t>
  </si>
  <si>
    <t>49.0309 Marine Science/Merchant Marine Officer.</t>
  </si>
  <si>
    <t>49.0399</t>
  </si>
  <si>
    <t>49.0399 Marine Transportation, Other.</t>
  </si>
  <si>
    <t>49.99</t>
  </si>
  <si>
    <t>49.9999</t>
  </si>
  <si>
    <t>49.9999 Transportation and Materials Moving, Other.</t>
  </si>
  <si>
    <t>50</t>
  </si>
  <si>
    <t>50.01</t>
  </si>
  <si>
    <t>50.0101</t>
  </si>
  <si>
    <t>50.0101 Visual and Performing Arts, General.</t>
  </si>
  <si>
    <t>50.0102</t>
  </si>
  <si>
    <t>50.0102 Digital Arts.</t>
  </si>
  <si>
    <t>50.02</t>
  </si>
  <si>
    <t>50.0201</t>
  </si>
  <si>
    <t>50.0201 Crafts/Craft Design, Folk Art and Artisanry.</t>
  </si>
  <si>
    <t>50.03</t>
  </si>
  <si>
    <t>50.0301</t>
  </si>
  <si>
    <t>50.0301 Dance, General.</t>
  </si>
  <si>
    <t>50.0302</t>
  </si>
  <si>
    <t>50.0302 Ballet.</t>
  </si>
  <si>
    <t>50.0399</t>
  </si>
  <si>
    <t>50.0399 Dance, Other.</t>
  </si>
  <si>
    <t>50.04</t>
  </si>
  <si>
    <t>50.0401</t>
  </si>
  <si>
    <t>50.0401 Design and Visual Communications, General.</t>
  </si>
  <si>
    <t>50.0402</t>
  </si>
  <si>
    <t>50.0402 Commercial and Advertising Art.</t>
  </si>
  <si>
    <t>50.0404</t>
  </si>
  <si>
    <t>50.0404 Industrial and Product Design.</t>
  </si>
  <si>
    <t>50.0406</t>
  </si>
  <si>
    <t>50.0406 Commercial Photography.</t>
  </si>
  <si>
    <t>50.0407</t>
  </si>
  <si>
    <t>50.0407 Fashion/Apparel Design.</t>
  </si>
  <si>
    <t>50.0408</t>
  </si>
  <si>
    <t>50.0408 Interior Design.</t>
  </si>
  <si>
    <t>50.0409</t>
  </si>
  <si>
    <t>50.0409 Graphic Design.</t>
  </si>
  <si>
    <t>50.0410</t>
  </si>
  <si>
    <t>50.0410 Illustration.</t>
  </si>
  <si>
    <t>50.0411</t>
  </si>
  <si>
    <t>50.0411 Game and Interactive Media Design.</t>
  </si>
  <si>
    <t>50.0499</t>
  </si>
  <si>
    <t>50.0499 Design and Applied Arts, Other.</t>
  </si>
  <si>
    <t>50.05</t>
  </si>
  <si>
    <t>50.0501</t>
  </si>
  <si>
    <t>50.0501 Drama and Dramatics/Theatre Arts, General.</t>
  </si>
  <si>
    <t>50.0502</t>
  </si>
  <si>
    <t>50.0502 Technical Theatre/Theatre Design and Technology.</t>
  </si>
  <si>
    <t>50.0504</t>
  </si>
  <si>
    <t>50.0504 Playwriting and Screenwriting.</t>
  </si>
  <si>
    <t>50.0505</t>
  </si>
  <si>
    <t>50.0505 Theatre Literature, History and Criticism.</t>
  </si>
  <si>
    <t>50.0506</t>
  </si>
  <si>
    <t>50.0506 Acting.</t>
  </si>
  <si>
    <t>50.0507</t>
  </si>
  <si>
    <t>50.0507 Directing and Theatrical Production.</t>
  </si>
  <si>
    <t>50.0509</t>
  </si>
  <si>
    <t>50.0509 Musical Theatre.</t>
  </si>
  <si>
    <t>50.0510</t>
  </si>
  <si>
    <t>50.0510 Costume Design.</t>
  </si>
  <si>
    <t>50.0511</t>
  </si>
  <si>
    <t>50.0511 Comedy Writing and Performance.</t>
  </si>
  <si>
    <t>50.0512</t>
  </si>
  <si>
    <t>50.0512 Theatre and Dance.</t>
  </si>
  <si>
    <t>50.0599</t>
  </si>
  <si>
    <t>50.0599 Dramatic/Theatre Arts and Stagecraft, Other.</t>
  </si>
  <si>
    <t>50.06</t>
  </si>
  <si>
    <t>50.0601</t>
  </si>
  <si>
    <t>50.0601 Film/Cinema/Media Studies.</t>
  </si>
  <si>
    <t>50.0602</t>
  </si>
  <si>
    <t>50.0602 Cinematography and Film/Video Production.</t>
  </si>
  <si>
    <t>50.0605</t>
  </si>
  <si>
    <t>50.0605 Photography.</t>
  </si>
  <si>
    <t>50.0607</t>
  </si>
  <si>
    <t>50.0607 Documentary Production.</t>
  </si>
  <si>
    <t>50.0699</t>
  </si>
  <si>
    <t>50.0699 Film/Video and Photographic Arts, Other.</t>
  </si>
  <si>
    <t>50.07</t>
  </si>
  <si>
    <t>50.0701</t>
  </si>
  <si>
    <t>50.0701 Art/Art Studies, General.</t>
  </si>
  <si>
    <t>50.0702</t>
  </si>
  <si>
    <t>50.0702 Fine/Studio Arts, General.</t>
  </si>
  <si>
    <t>50.0703</t>
  </si>
  <si>
    <t>50.0703 Art History, Criticism and Conservation.</t>
  </si>
  <si>
    <t>50.0705</t>
  </si>
  <si>
    <t>50.0705 Drawing.</t>
  </si>
  <si>
    <t>50.0706</t>
  </si>
  <si>
    <t>50.0706 Intermedia/Multimedia.</t>
  </si>
  <si>
    <t>50.0708</t>
  </si>
  <si>
    <t>50.0708 Painting.</t>
  </si>
  <si>
    <t>50.0709</t>
  </si>
  <si>
    <t>50.0709 Sculpture.</t>
  </si>
  <si>
    <t>50.0710</t>
  </si>
  <si>
    <t>50.0710 Printmaking.</t>
  </si>
  <si>
    <t>50.0711</t>
  </si>
  <si>
    <t>50.0711 Ceramic Arts and Ceramics.</t>
  </si>
  <si>
    <t>50.0712</t>
  </si>
  <si>
    <t>50.0712 Fiber, Textile and Weaving Arts.</t>
  </si>
  <si>
    <t>50.0713</t>
  </si>
  <si>
    <t>50.0713 Jewelry Arts.</t>
  </si>
  <si>
    <t>50.0714</t>
  </si>
  <si>
    <t>50.0714 Metal Arts.</t>
  </si>
  <si>
    <t>50.0799</t>
  </si>
  <si>
    <t>50.0799 Fine Arts and Art Studies, Other.</t>
  </si>
  <si>
    <t>50.09</t>
  </si>
  <si>
    <t>50.0901</t>
  </si>
  <si>
    <t>50.0901 Music, General.</t>
  </si>
  <si>
    <t>50.0902</t>
  </si>
  <si>
    <t>50.0902 Music History, Literature, and Theory.</t>
  </si>
  <si>
    <t>50.0903</t>
  </si>
  <si>
    <t>50.0903 Music Performance, General.</t>
  </si>
  <si>
    <t>50.0904</t>
  </si>
  <si>
    <t>50.0904 Music Theory and Composition.</t>
  </si>
  <si>
    <t>50.0905</t>
  </si>
  <si>
    <t>50.0905 Musicology and Ethnomusicology.</t>
  </si>
  <si>
    <t>50.0906</t>
  </si>
  <si>
    <t>50.0906 Conducting.</t>
  </si>
  <si>
    <t>50.0907</t>
  </si>
  <si>
    <t>50.0907 Keyboard Instruments.</t>
  </si>
  <si>
    <t>50.0908</t>
  </si>
  <si>
    <t>50.0908 Voice and Opera.</t>
  </si>
  <si>
    <t>50.0910</t>
  </si>
  <si>
    <t>50.0910 Jazz/Jazz Studies.</t>
  </si>
  <si>
    <t>50.0911</t>
  </si>
  <si>
    <t>50.0911 Stringed Instruments.</t>
  </si>
  <si>
    <t>50.0912</t>
  </si>
  <si>
    <t>50.0912 Music Pedagogy.</t>
  </si>
  <si>
    <t>50.0913</t>
  </si>
  <si>
    <t>50.0913 Music Technology.</t>
  </si>
  <si>
    <t>50.0914</t>
  </si>
  <si>
    <t>50.0914 Brass Instruments.</t>
  </si>
  <si>
    <t>50.0915</t>
  </si>
  <si>
    <t>50.0915 Woodwind Instruments.</t>
  </si>
  <si>
    <t>50.0916</t>
  </si>
  <si>
    <t>50.0916 Percussion Instruments.</t>
  </si>
  <si>
    <t>50.0917</t>
  </si>
  <si>
    <t>50.0917 Sound Arts.</t>
  </si>
  <si>
    <t>50.0999</t>
  </si>
  <si>
    <t>50.0999 Music, Other.</t>
  </si>
  <si>
    <t>50.10</t>
  </si>
  <si>
    <t>50.1001</t>
  </si>
  <si>
    <t>50.1001 Arts, Entertainment, and Media Management, General.</t>
  </si>
  <si>
    <t>50.1002</t>
  </si>
  <si>
    <t>50.1002 Fine and Studio Arts Management.</t>
  </si>
  <si>
    <t>50.1003</t>
  </si>
  <si>
    <t>50.1003 Music Management.</t>
  </si>
  <si>
    <t>50.1004</t>
  </si>
  <si>
    <t>50.1004 Theatre/Theatre Arts Management.</t>
  </si>
  <si>
    <t>50.1099</t>
  </si>
  <si>
    <t>50.1099 Arts, Entertainment, and Media Management, Other.</t>
  </si>
  <si>
    <t>50.11</t>
  </si>
  <si>
    <t>50.1101</t>
  </si>
  <si>
    <t>50.1101 Community/Environmental/Socially-Engaged Art.</t>
  </si>
  <si>
    <t>50.99</t>
  </si>
  <si>
    <t>50.9999</t>
  </si>
  <si>
    <t>50.9999 Visual and Performing Arts, Other.</t>
  </si>
  <si>
    <t>51</t>
  </si>
  <si>
    <t>51.00</t>
  </si>
  <si>
    <t>51.0000</t>
  </si>
  <si>
    <t>51.0000 Health Services/Allied Health/Health Sciences, General.</t>
  </si>
  <si>
    <t>51.0001</t>
  </si>
  <si>
    <t>51.0001 Health and Wellness, General.</t>
  </si>
  <si>
    <t>51.01</t>
  </si>
  <si>
    <t>51.0101</t>
  </si>
  <si>
    <t>51.0101 Chiropractic.</t>
  </si>
  <si>
    <t>51.02</t>
  </si>
  <si>
    <t>51.0201</t>
  </si>
  <si>
    <t>51.0201 Communication Sciences and Disorders, General.</t>
  </si>
  <si>
    <t>51.0202</t>
  </si>
  <si>
    <t>51.0202 Audiology/Audiologist.</t>
  </si>
  <si>
    <t>51.0203</t>
  </si>
  <si>
    <t>51.0203 Speech-Language Pathology/Pathologist.</t>
  </si>
  <si>
    <t>51.0204</t>
  </si>
  <si>
    <t>51.0204 Audiology/Audiologist and Speech-Language Pathology/Pathologist.</t>
  </si>
  <si>
    <t>51.0299</t>
  </si>
  <si>
    <t>51.0299 Communication Disorders Sciences and Services, Other.</t>
  </si>
  <si>
    <t>51.04</t>
  </si>
  <si>
    <t>51.0401</t>
  </si>
  <si>
    <t>51.0401 Dentistry.</t>
  </si>
  <si>
    <t>51.05</t>
  </si>
  <si>
    <t>51.0501</t>
  </si>
  <si>
    <t>51.0501 Dental Clinical Sciences, General.</t>
  </si>
  <si>
    <t>51.0502</t>
  </si>
  <si>
    <t>51.0502 Advanced General Dentistry.</t>
  </si>
  <si>
    <t>51.0503</t>
  </si>
  <si>
    <t>51.0503 Oral Biology and Oral and Maxillofacial Pathology.</t>
  </si>
  <si>
    <t>51.0504</t>
  </si>
  <si>
    <t>51.0504 Dental Public Health and Education.</t>
  </si>
  <si>
    <t>51.0505</t>
  </si>
  <si>
    <t>51.0505 Dental Materials.</t>
  </si>
  <si>
    <t>51.0506</t>
  </si>
  <si>
    <t>51.0506 Endodontics/Endodontology.</t>
  </si>
  <si>
    <t>51.0507</t>
  </si>
  <si>
    <t>51.0507 Oral/Maxillofacial Surgery.</t>
  </si>
  <si>
    <t>51.0508</t>
  </si>
  <si>
    <t>51.0508 Orthodontics/Orthodontology.</t>
  </si>
  <si>
    <t>51.0509</t>
  </si>
  <si>
    <t>51.0509 Pediatric Dentistry/Pedodontics.</t>
  </si>
  <si>
    <t>51.0510</t>
  </si>
  <si>
    <t>51.0510 Periodontics/Periodontology.</t>
  </si>
  <si>
    <t>51.0511</t>
  </si>
  <si>
    <t>51.0511 Prosthodontics/Prosthodontology.</t>
  </si>
  <si>
    <t>51.0512</t>
  </si>
  <si>
    <t>51.0512 Digital Dentistry.</t>
  </si>
  <si>
    <t>51.0513</t>
  </si>
  <si>
    <t>51.0513 Geriatric Dentistry.</t>
  </si>
  <si>
    <t>51.0514</t>
  </si>
  <si>
    <t>51.0514 Implantology/Implant Dentistry.</t>
  </si>
  <si>
    <t>51.0599</t>
  </si>
  <si>
    <t>51.0599 Advanced/Graduate Dentistry and Oral Sciences, Other.</t>
  </si>
  <si>
    <t>51.06</t>
  </si>
  <si>
    <t>51.0601</t>
  </si>
  <si>
    <t>51.0601 Dental Assisting/Assistant.</t>
  </si>
  <si>
    <t>51.0602</t>
  </si>
  <si>
    <t>51.0602 Dental Hygiene/Hygienist.</t>
  </si>
  <si>
    <t>51.0603</t>
  </si>
  <si>
    <t>51.0603 Dental Laboratory Technology/Technician.</t>
  </si>
  <si>
    <t>51.0699</t>
  </si>
  <si>
    <t>51.0699 Dental Services and Allied Professions, Other.</t>
  </si>
  <si>
    <t>51.07</t>
  </si>
  <si>
    <t>51.0701</t>
  </si>
  <si>
    <t>51.0701 Health/Health Care Administration/Management.</t>
  </si>
  <si>
    <t>51.0702</t>
  </si>
  <si>
    <t>51.0702 Hospital and Health Care Facilities Administration/Management.</t>
  </si>
  <si>
    <t>51.0703</t>
  </si>
  <si>
    <t>51.0703 Health Unit Coordinator/Ward Clerk.</t>
  </si>
  <si>
    <t>51.0704</t>
  </si>
  <si>
    <t>51.0704 Health Unit Manager/Ward Supervisor.</t>
  </si>
  <si>
    <t>51.0705</t>
  </si>
  <si>
    <t>51.0705 Medical Office Management/Administration.</t>
  </si>
  <si>
    <t>51.0706</t>
  </si>
  <si>
    <t>51.0706 Health Information/Medical Records Administration/Administrator.</t>
  </si>
  <si>
    <t>51.0707</t>
  </si>
  <si>
    <t>51.0707 Health Information/Medical Records Technology/Technician.</t>
  </si>
  <si>
    <t>51.0708</t>
  </si>
  <si>
    <t>51.0708 Medical Transcription/Transcriptionist.</t>
  </si>
  <si>
    <t>51.0709</t>
  </si>
  <si>
    <t>51.0709 Medical Office Computer Specialist/Assistant.</t>
  </si>
  <si>
    <t>51.0710</t>
  </si>
  <si>
    <t>51.0710 Medical Office Assistant/Specialist.</t>
  </si>
  <si>
    <t>51.0711</t>
  </si>
  <si>
    <t>51.0711 Medical/Health Management and Clinical Assistant/Specialist.</t>
  </si>
  <si>
    <t>51.0712</t>
  </si>
  <si>
    <t>51.0712 Medical Reception/Receptionist.</t>
  </si>
  <si>
    <t>51.0713</t>
  </si>
  <si>
    <t>51.0713 Medical Insurance Coding Specialist/Coder.</t>
  </si>
  <si>
    <t>51.0714</t>
  </si>
  <si>
    <t>51.0714 Medical Insurance Specialist/Medical Biller.</t>
  </si>
  <si>
    <t>51.0715</t>
  </si>
  <si>
    <t>51.0715 Health/Medical Claims Examiner.</t>
  </si>
  <si>
    <t>51.0716</t>
  </si>
  <si>
    <t>51.0716 Medical Administrative/Executive Assistant and Medical Secretary.</t>
  </si>
  <si>
    <t>51.0717</t>
  </si>
  <si>
    <t>51.0717 Medical Staff Services Technology/Technician.</t>
  </si>
  <si>
    <t>51.0718</t>
  </si>
  <si>
    <t>51.0718 Long Term Care Administration/Management.</t>
  </si>
  <si>
    <t>51.0719</t>
  </si>
  <si>
    <t>51.0719 Clinical Research Coordinator.</t>
  </si>
  <si>
    <t>51.0720</t>
  </si>
  <si>
    <t>51.0720 Regulatory Science/Affairs.</t>
  </si>
  <si>
    <t>51.0721</t>
  </si>
  <si>
    <t>51.0721 Disease Registry Data Management.</t>
  </si>
  <si>
    <t>51.0722</t>
  </si>
  <si>
    <t>51.0722 Healthcare Innovation.</t>
  </si>
  <si>
    <t>51.0723</t>
  </si>
  <si>
    <t>51.0723 Healthcare Information Privacy Assurance and Security.</t>
  </si>
  <si>
    <t>51.0799</t>
  </si>
  <si>
    <t>51.0799 Health and Medical Administrative Services, Other.</t>
  </si>
  <si>
    <t>51.08</t>
  </si>
  <si>
    <t>51.0801</t>
  </si>
  <si>
    <t>51.0801 Medical/Clinical Assistant.</t>
  </si>
  <si>
    <t>51.0802</t>
  </si>
  <si>
    <t>51.0802 Clinical/Medical Laboratory Assistant.</t>
  </si>
  <si>
    <t>51.0803</t>
  </si>
  <si>
    <t>51.0803 Occupational Therapist Assistant.</t>
  </si>
  <si>
    <t>51.0805</t>
  </si>
  <si>
    <t>51.0805 Pharmacy Technician/Assistant.</t>
  </si>
  <si>
    <t>51.0806</t>
  </si>
  <si>
    <t>51.0806 Physical Therapy Assistant.</t>
  </si>
  <si>
    <t>51.0808</t>
  </si>
  <si>
    <t>51.0808 Veterinary/Animal Health Technology/Technician and Veterinary Assistant.</t>
  </si>
  <si>
    <t>51.0809</t>
  </si>
  <si>
    <t>51.0809 Anesthesiologist Assistant.</t>
  </si>
  <si>
    <t>51.0810</t>
  </si>
  <si>
    <t>51.0810 Emergency Care Attendant (EMT Ambulance).</t>
  </si>
  <si>
    <t>51.0811</t>
  </si>
  <si>
    <t>51.0811 Pathology/Pathologist Assistant.</t>
  </si>
  <si>
    <t>51.0812</t>
  </si>
  <si>
    <t>51.0812 Respiratory Therapy Technician/Assistant.</t>
  </si>
  <si>
    <t>51.0813</t>
  </si>
  <si>
    <t>51.0813 Chiropractic Technician/Assistant.</t>
  </si>
  <si>
    <t>51.0814</t>
  </si>
  <si>
    <t>51.0814 Radiologist Assistant.</t>
  </si>
  <si>
    <t>51.0815</t>
  </si>
  <si>
    <t>51.0815 Lactation Consultant.</t>
  </si>
  <si>
    <t>51.0816</t>
  </si>
  <si>
    <t>51.0816 Speech-Language Pathology Assistant.</t>
  </si>
  <si>
    <t>51.0817</t>
  </si>
  <si>
    <t>51.0817 Reserved.</t>
  </si>
  <si>
    <t>51.0899</t>
  </si>
  <si>
    <t>51.0899 Allied Health and Medical Assisting Services, Other.</t>
  </si>
  <si>
    <t>51.09</t>
  </si>
  <si>
    <t>51.0901</t>
  </si>
  <si>
    <t>51.0901 Cardiovascular Technology/Technologist.</t>
  </si>
  <si>
    <t>51.0902</t>
  </si>
  <si>
    <t>51.0902 Electrocardiograph Technology/Technician.</t>
  </si>
  <si>
    <t>51.0903</t>
  </si>
  <si>
    <t>51.0903 Electroneurodiagnostic/Electroencephalographic Technology/Technologist.</t>
  </si>
  <si>
    <t>51.0904</t>
  </si>
  <si>
    <t>51.0904 Emergency Medical Technology/Technician (EMT Paramedic).</t>
  </si>
  <si>
    <t>51.0905</t>
  </si>
  <si>
    <t>51.0905 Nuclear Medical Technology/Technologist.</t>
  </si>
  <si>
    <t>51.0906</t>
  </si>
  <si>
    <t>51.0906 Perfusion Technology/Perfusionist.</t>
  </si>
  <si>
    <t>51.0907</t>
  </si>
  <si>
    <t>51.0907 Medical Radiologic Technology/Science - Radiation Therapist.</t>
  </si>
  <si>
    <t>51.0908</t>
  </si>
  <si>
    <t>51.0908 Respiratory Care Therapy/Therapist.</t>
  </si>
  <si>
    <t>51.0909</t>
  </si>
  <si>
    <t>51.0909 Surgical Technology/Technologist.</t>
  </si>
  <si>
    <t>51.0910</t>
  </si>
  <si>
    <t>51.0910 Diagnostic Medical Sonography/Sonographer and Ultrasound Technician.</t>
  </si>
  <si>
    <t>51.0911</t>
  </si>
  <si>
    <t>51.0911 Radiologic Technology/Science - Radiographer.</t>
  </si>
  <si>
    <t>51.0912</t>
  </si>
  <si>
    <t>51.0912 Physician Associate/Assistant.</t>
  </si>
  <si>
    <t>51.0913</t>
  </si>
  <si>
    <t>51.0913 Athletic Training/Trainer.</t>
  </si>
  <si>
    <t>51.0914</t>
  </si>
  <si>
    <t>51.0914 Gene/Genetic Therapy.</t>
  </si>
  <si>
    <t>51.0915</t>
  </si>
  <si>
    <t>51.0915 Cardiopulmonary Technology/Technologist.</t>
  </si>
  <si>
    <t>51.0916</t>
  </si>
  <si>
    <t>51.0916 Radiation Protection/Health Physics Technician.</t>
  </si>
  <si>
    <t>51.0917</t>
  </si>
  <si>
    <t>51.0917 Polysomnography.</t>
  </si>
  <si>
    <t>51.0918</t>
  </si>
  <si>
    <t>51.0918 Hearing Instrument Specialist.</t>
  </si>
  <si>
    <t>51.0919</t>
  </si>
  <si>
    <t>51.0919 Mammography Technology/Technician.</t>
  </si>
  <si>
    <t>51.0920</t>
  </si>
  <si>
    <t>51.0920 Magnetic Resonance Imaging (MRI) Technology/Technician.</t>
  </si>
  <si>
    <t>51.0921</t>
  </si>
  <si>
    <t>51.0921 Hyperbaric Medicine Technology/Technician.</t>
  </si>
  <si>
    <t>51.0922</t>
  </si>
  <si>
    <t>51.0922 Intraoperative Neuromonitoring Technology/Technician.</t>
  </si>
  <si>
    <t>51.0923</t>
  </si>
  <si>
    <t>51.0923 Orthopedic Technology/Technician.</t>
  </si>
  <si>
    <t>51.0924</t>
  </si>
  <si>
    <t>51.0924 Reserved.</t>
  </si>
  <si>
    <t>51.0999</t>
  </si>
  <si>
    <t>51.0999 Allied Health Diagnostic, Intervention, and Treatment Professions, Other.</t>
  </si>
  <si>
    <t>51.10</t>
  </si>
  <si>
    <t>51.1001</t>
  </si>
  <si>
    <t>51.1001 Blood Bank Technology Specialist.</t>
  </si>
  <si>
    <t>51.1002</t>
  </si>
  <si>
    <t>51.1002 Cytotechnology/Cytotechnologist.</t>
  </si>
  <si>
    <t>51.1003</t>
  </si>
  <si>
    <t>51.1003 Hematology Technology/Technician.</t>
  </si>
  <si>
    <t>51.1004</t>
  </si>
  <si>
    <t>51.1004 Clinical/Medical Laboratory Technician.</t>
  </si>
  <si>
    <t>51.1005</t>
  </si>
  <si>
    <t>51.1005 Clinical Laboratory Science/Medical Technology/Technologist.</t>
  </si>
  <si>
    <t>51.1006</t>
  </si>
  <si>
    <t>51.1006 Ophthalmic Laboratory Technology/Technician.</t>
  </si>
  <si>
    <t>51.1007</t>
  </si>
  <si>
    <t>51.1007 Histologic Technology/Histotechnologist.</t>
  </si>
  <si>
    <t>51.1008</t>
  </si>
  <si>
    <t>51.1008 Histologic Technician.</t>
  </si>
  <si>
    <t>51.1009</t>
  </si>
  <si>
    <t>51.1009 Phlebotomy Technician/Phlebotomist.</t>
  </si>
  <si>
    <t>51.1010</t>
  </si>
  <si>
    <t>51.1010 Cytogenetics/Genetics/Clinical Genetics Technology/Technologist.</t>
  </si>
  <si>
    <t>51.1011</t>
  </si>
  <si>
    <t>51.1011 Renal/Dialysis Technologist/Technician.</t>
  </si>
  <si>
    <t>51.1012</t>
  </si>
  <si>
    <t>51.1012 Sterile Processing Technology/Technician.</t>
  </si>
  <si>
    <t>51.1099</t>
  </si>
  <si>
    <t>51.1099 Clinical/Medical Laboratory Science and Allied Professions, Other.</t>
  </si>
  <si>
    <t>51.11</t>
  </si>
  <si>
    <t>51.1101</t>
  </si>
  <si>
    <t>51.1101 Pre-Dentistry Studies.</t>
  </si>
  <si>
    <t>51.1102</t>
  </si>
  <si>
    <t>51.1102 Pre-Medicine/Pre-Medical Studies.</t>
  </si>
  <si>
    <t>51.1103</t>
  </si>
  <si>
    <t>51.1103 Pre-Pharmacy Studies.</t>
  </si>
  <si>
    <t>51.1104</t>
  </si>
  <si>
    <t>51.1104 Pre-Veterinary Studies.</t>
  </si>
  <si>
    <t>51.1105</t>
  </si>
  <si>
    <t>51.1105 Pre-Nursing Studies.</t>
  </si>
  <si>
    <t>51.1106</t>
  </si>
  <si>
    <t>51.1106 Pre-Chiropractic Studies.</t>
  </si>
  <si>
    <t>51.1107</t>
  </si>
  <si>
    <t>51.1107 Pre-Occupational Therapy Studies.</t>
  </si>
  <si>
    <t>51.1108</t>
  </si>
  <si>
    <t>51.1108 Pre-Optometry Studies.</t>
  </si>
  <si>
    <t>51.1109</t>
  </si>
  <si>
    <t>51.1109 Pre-Physical Therapy Studies.</t>
  </si>
  <si>
    <t>51.1110</t>
  </si>
  <si>
    <t>51.1110 Pre-Art Therapy.</t>
  </si>
  <si>
    <t>51.1111</t>
  </si>
  <si>
    <t>51.1111 Pre-Physician Assistant.</t>
  </si>
  <si>
    <t>51.1199</t>
  </si>
  <si>
    <t>51.1199 Health/Medical Preparatory Programs, Other.</t>
  </si>
  <si>
    <t>51.12</t>
  </si>
  <si>
    <t>51.1201</t>
  </si>
  <si>
    <t>51.1201 Medicine.</t>
  </si>
  <si>
    <t>51.1202</t>
  </si>
  <si>
    <t>51.1202 Osteopathic Medicine/Osteopathy.</t>
  </si>
  <si>
    <t>51.1203</t>
  </si>
  <si>
    <t>51.1203 Podiatric Medicine/Podiatry.</t>
  </si>
  <si>
    <t>51.1299</t>
  </si>
  <si>
    <t>51.1299 Medicine, Other.</t>
  </si>
  <si>
    <t>51.14</t>
  </si>
  <si>
    <t>51.1401</t>
  </si>
  <si>
    <t>51.1401 Medical Science/Scientist.</t>
  </si>
  <si>
    <t>51.1402</t>
  </si>
  <si>
    <t>51.1402 Clinical and Translational Science.</t>
  </si>
  <si>
    <t>51.1403</t>
  </si>
  <si>
    <t>51.1403 Pain Management.</t>
  </si>
  <si>
    <t>51.1404</t>
  </si>
  <si>
    <t>51.1404 Temporomandibular Disorders and Orofacial Pain.</t>
  </si>
  <si>
    <t>51.1405</t>
  </si>
  <si>
    <t>51.1405 Tropical Medicine.</t>
  </si>
  <si>
    <t>51.1499</t>
  </si>
  <si>
    <t>51.1499 Medical Clinical Sciences/Graduate Medical Studies, Other.</t>
  </si>
  <si>
    <t>51.15</t>
  </si>
  <si>
    <t>51.1501</t>
  </si>
  <si>
    <t>51.1501 Substance Abuse/Addiction Counseling.</t>
  </si>
  <si>
    <t>51.1502</t>
  </si>
  <si>
    <t>51.1502 Psychiatric/Mental Health Services Technician.</t>
  </si>
  <si>
    <t>51.1503</t>
  </si>
  <si>
    <t>51.1503 Clinical/Medical Social Work.</t>
  </si>
  <si>
    <t>51.1504</t>
  </si>
  <si>
    <t>51.1504 Community Health Services/Liaison/Counseling.</t>
  </si>
  <si>
    <t>51.1505</t>
  </si>
  <si>
    <t>51.1505 Marriage and Family Therapy/Counseling.</t>
  </si>
  <si>
    <t>51.1506</t>
  </si>
  <si>
    <t>51.1506 Clinical Pastoral Counseling/Patient Counseling.</t>
  </si>
  <si>
    <t>51.1507</t>
  </si>
  <si>
    <t>51.1507 Psychoanalysis and Psychotherapy.</t>
  </si>
  <si>
    <t>51.1508</t>
  </si>
  <si>
    <t>51.1508 Mental Health Counseling/Counselor.</t>
  </si>
  <si>
    <t>51.1509</t>
  </si>
  <si>
    <t>51.1509 Genetic Counseling/Counselor.</t>
  </si>
  <si>
    <t>51.1510</t>
  </si>
  <si>
    <t>51.1510 Infant/Toddler Mental Health Services.</t>
  </si>
  <si>
    <t>51.1511</t>
  </si>
  <si>
    <t>51.1511 Medical Family Therapy/Therapist.</t>
  </si>
  <si>
    <t>51.1512</t>
  </si>
  <si>
    <t>51.1512 Hospice and Palliative Care.</t>
  </si>
  <si>
    <t>51.1513</t>
  </si>
  <si>
    <t>51.1513 Trauma Counseling.</t>
  </si>
  <si>
    <t>51.1580</t>
  </si>
  <si>
    <t>51.1580 Reserved.</t>
  </si>
  <si>
    <t>51.1599</t>
  </si>
  <si>
    <t>51.1599 Mental and Social Health Services and Allied Professions, Other.</t>
  </si>
  <si>
    <t>51.17</t>
  </si>
  <si>
    <t>51.1701</t>
  </si>
  <si>
    <t>51.1701 Optometry.</t>
  </si>
  <si>
    <t>51.18</t>
  </si>
  <si>
    <t>51.1801</t>
  </si>
  <si>
    <t>51.1801 Opticianry/Ophthalmic Dispensing Optician.</t>
  </si>
  <si>
    <t>51.1802</t>
  </si>
  <si>
    <t>51.1802 Optometric Technician/Assistant.</t>
  </si>
  <si>
    <t>51.1803</t>
  </si>
  <si>
    <t>51.1803 Ophthalmic Technician/Technologist.</t>
  </si>
  <si>
    <t>51.1804</t>
  </si>
  <si>
    <t>51.1804 Orthoptics/Orthoptist.</t>
  </si>
  <si>
    <t>51.1899</t>
  </si>
  <si>
    <t>51.1899 Ophthalmic and Optometric Support Services and Allied Professions, Other.</t>
  </si>
  <si>
    <t>51.19</t>
  </si>
  <si>
    <t>51.1901</t>
  </si>
  <si>
    <t>51.1901 Osteopathic Medicine/Osteopathy.</t>
  </si>
  <si>
    <t>51.20</t>
  </si>
  <si>
    <t>51.20 Pharmacy, Pharmaceutical Sciences, and Administration.</t>
  </si>
  <si>
    <t>51.2001</t>
  </si>
  <si>
    <t>51.2001 Pharmacy.</t>
  </si>
  <si>
    <t>51.2002</t>
  </si>
  <si>
    <t>51.2002 Pharmacy Administration and Pharmacy Policy and Regulatory Affairs.</t>
  </si>
  <si>
    <t>51.2003</t>
  </si>
  <si>
    <t>51.2003 Pharmaceutics and Drug Design.</t>
  </si>
  <si>
    <t>51.2004</t>
  </si>
  <si>
    <t>51.2004 Medicinal and Pharmaceutical Chemistry.</t>
  </si>
  <si>
    <t>51.2005</t>
  </si>
  <si>
    <t>51.2005 Natural Products Chemistry and Pharmacognosy.</t>
  </si>
  <si>
    <t>51.2006</t>
  </si>
  <si>
    <t>51.2006 Clinical and Industrial Drug Development.</t>
  </si>
  <si>
    <t>51.2007</t>
  </si>
  <si>
    <t>51.2007 Pharmacoeconomics/Pharmaceutical Economics.</t>
  </si>
  <si>
    <t>51.2008</t>
  </si>
  <si>
    <t>51.2008 Clinical, Hospital, and Managed Care Pharmacy.</t>
  </si>
  <si>
    <t>51.2009</t>
  </si>
  <si>
    <t>51.2009 Industrial and Physical Pharmacy and Cosmetic Sciences.</t>
  </si>
  <si>
    <t>51.2010</t>
  </si>
  <si>
    <t>51.2010 Pharmaceutical Sciences.</t>
  </si>
  <si>
    <t>51.2011</t>
  </si>
  <si>
    <t>51.2011 Pharmaceutical Marketing and Management.</t>
  </si>
  <si>
    <t>51.2099</t>
  </si>
  <si>
    <t>51.2099 Pharmacy, Pharmaceutical Sciences, and Administration, Other.</t>
  </si>
  <si>
    <t>51.21</t>
  </si>
  <si>
    <t>51.2101</t>
  </si>
  <si>
    <t>51.2101 Podiatric Medicine/Podiatry.</t>
  </si>
  <si>
    <t>51.22</t>
  </si>
  <si>
    <t>51.2201</t>
  </si>
  <si>
    <t>51.2201 Public Health, General.</t>
  </si>
  <si>
    <t>51.2202</t>
  </si>
  <si>
    <t>51.2202 Environmental Health.</t>
  </si>
  <si>
    <t>51.2205</t>
  </si>
  <si>
    <t>51.2205 Health/Medical  Physics.</t>
  </si>
  <si>
    <t>51.2206</t>
  </si>
  <si>
    <t>51.2206 Occupational Health and Industrial Hygiene.</t>
  </si>
  <si>
    <t>51.2207</t>
  </si>
  <si>
    <t>51.2207 Public Health Education and Promotion.</t>
  </si>
  <si>
    <t>51.2208</t>
  </si>
  <si>
    <t>51.2208 Community Health and Preventive Medicine.</t>
  </si>
  <si>
    <t>51.2209</t>
  </si>
  <si>
    <t>51.2209 Maternal and Child Health.</t>
  </si>
  <si>
    <t>51.2210</t>
  </si>
  <si>
    <t>51.2210 International Public Health/International Health.</t>
  </si>
  <si>
    <t>51.2211</t>
  </si>
  <si>
    <t>51.2211 Health Services Administration.</t>
  </si>
  <si>
    <t>51.2212</t>
  </si>
  <si>
    <t>51.2212 Behavioral Aspects of Health.</t>
  </si>
  <si>
    <t>51.2213</t>
  </si>
  <si>
    <t>51.2213 Patient Safety and Healthcare Quality.</t>
  </si>
  <si>
    <t>51.2214</t>
  </si>
  <si>
    <t>51.2214 Public Health Genetics.</t>
  </si>
  <si>
    <t>51.2280</t>
  </si>
  <si>
    <t>51.2280 Reserved.</t>
  </si>
  <si>
    <t>51.2299</t>
  </si>
  <si>
    <t>51.2299 Public Health, Other.</t>
  </si>
  <si>
    <t>51.2300</t>
  </si>
  <si>
    <t>51.2300 Rehabilitation and Therapeutic Professions, General.</t>
  </si>
  <si>
    <t>51.23</t>
  </si>
  <si>
    <t>51.2301</t>
  </si>
  <si>
    <t>51.2301 Art Therapy/Therapist.</t>
  </si>
  <si>
    <t>51.2302</t>
  </si>
  <si>
    <t>51.2302 Dance Therapy/Therapist.</t>
  </si>
  <si>
    <t>51.2305</t>
  </si>
  <si>
    <t>51.2305 Music Therapy/Therapist.</t>
  </si>
  <si>
    <t>51.2306</t>
  </si>
  <si>
    <t>51.2306 Occupational Therapy/Therapist.</t>
  </si>
  <si>
    <t>51.2307</t>
  </si>
  <si>
    <t>51.2307 Orthotist/Prosthetist.</t>
  </si>
  <si>
    <t>51.2308</t>
  </si>
  <si>
    <t>51.2308 Physical Therapy/Therapist.</t>
  </si>
  <si>
    <t>51.2309</t>
  </si>
  <si>
    <t>51.2309 Therapeutic Recreation/Recreational Therapy.</t>
  </si>
  <si>
    <t>51.2310</t>
  </si>
  <si>
    <t>51.2310 Vocational Rehabilitation Counseling/Counselor.</t>
  </si>
  <si>
    <t>51.2311</t>
  </si>
  <si>
    <t>51.2311 Kinesiotherapy/Kinesiotherapist.</t>
  </si>
  <si>
    <t>51.2312</t>
  </si>
  <si>
    <t>51.2312 Assistive/Augmentative Technology and Rehabilitation Engineering.</t>
  </si>
  <si>
    <t>51.2313</t>
  </si>
  <si>
    <t>51.2313 Animal-Assisted Therapy.</t>
  </si>
  <si>
    <t>51.2314</t>
  </si>
  <si>
    <t>51.2314 Rehabilitation Science.</t>
  </si>
  <si>
    <t>51.2315</t>
  </si>
  <si>
    <t>51.2315 Drama Therapy/Therapist.</t>
  </si>
  <si>
    <t>51.2316</t>
  </si>
  <si>
    <t>51.2316 Horticulture Therapy/Therapist.</t>
  </si>
  <si>
    <t>51.2317</t>
  </si>
  <si>
    <t>51.2317 Play Therapy/Therapist.</t>
  </si>
  <si>
    <t>51.2399</t>
  </si>
  <si>
    <t>51.2399 Rehabilitation and Therapeutic Professions, Other.</t>
  </si>
  <si>
    <t>51.24</t>
  </si>
  <si>
    <t>51.2401</t>
  </si>
  <si>
    <t>51.2401 Veterinary Medicine.</t>
  </si>
  <si>
    <t>51.25</t>
  </si>
  <si>
    <t>51.2501</t>
  </si>
  <si>
    <t>51.2501 Veterinary Sciences/Veterinary Clinical Sciences, General.</t>
  </si>
  <si>
    <t>51.2502</t>
  </si>
  <si>
    <t>51.2502 Veterinary Anatomy.</t>
  </si>
  <si>
    <t>51.2503</t>
  </si>
  <si>
    <t>51.2503 Veterinary Physiology.</t>
  </si>
  <si>
    <t>51.2504</t>
  </si>
  <si>
    <t>51.2504 Veterinary Microbiology and Immunobiology.</t>
  </si>
  <si>
    <t>51.2505</t>
  </si>
  <si>
    <t>51.2505 Veterinary Pathology and Pathobiology.</t>
  </si>
  <si>
    <t>51.2506</t>
  </si>
  <si>
    <t>51.2506 Veterinary Toxicology and Pharmacology.</t>
  </si>
  <si>
    <t>51.2507</t>
  </si>
  <si>
    <t>51.2507 Large Animal/Food Animal and Equine Surgery and Medicine.</t>
  </si>
  <si>
    <t>51.2508</t>
  </si>
  <si>
    <t>51.2508 Small/Companion Animal Surgery and Medicine.</t>
  </si>
  <si>
    <t>51.2509</t>
  </si>
  <si>
    <t>51.2509 Comparative and Laboratory Animal Medicine.</t>
  </si>
  <si>
    <t>51.2510</t>
  </si>
  <si>
    <t>51.2510 Veterinary Preventive Medicine, Epidemiology, and Public Health.</t>
  </si>
  <si>
    <t>51.2511</t>
  </si>
  <si>
    <t>51.2511 Veterinary Infectious Diseases.</t>
  </si>
  <si>
    <t>51.2599</t>
  </si>
  <si>
    <t>51.2599 Veterinary Biomedical and Clinical Sciences, Other.</t>
  </si>
  <si>
    <t>51.26</t>
  </si>
  <si>
    <t>51.2601</t>
  </si>
  <si>
    <t>51.2601 Health Aide.</t>
  </si>
  <si>
    <t>51.2602</t>
  </si>
  <si>
    <t>51.2602 Home Health Aide/Home Attendant.</t>
  </si>
  <si>
    <t>51.2603</t>
  </si>
  <si>
    <t>51.2603 Medication Aide.</t>
  </si>
  <si>
    <t>51.2604</t>
  </si>
  <si>
    <t>51.2604 Rehabilitation Aide.</t>
  </si>
  <si>
    <t>51.2605</t>
  </si>
  <si>
    <t>51.2605 Physical Therapy Technician/Aide.</t>
  </si>
  <si>
    <t>51.2699</t>
  </si>
  <si>
    <t>51.2699 Health Aides/Attendants/Orderlies, Other.</t>
  </si>
  <si>
    <t>51.27</t>
  </si>
  <si>
    <t>51.2703</t>
  </si>
  <si>
    <t>51.2703 Medical Illustration/Medical Illustrator.</t>
  </si>
  <si>
    <t>51.2706</t>
  </si>
  <si>
    <t>51.2706 Medical Informatics.</t>
  </si>
  <si>
    <t>51.2799</t>
  </si>
  <si>
    <t>51.2799 Medical Illustration and Informatics, Other.</t>
  </si>
  <si>
    <t>51.31</t>
  </si>
  <si>
    <t>51.3101</t>
  </si>
  <si>
    <t>51.3101 Dietetics/Dietitian.</t>
  </si>
  <si>
    <t>51.3102</t>
  </si>
  <si>
    <t>51.3102 Clinical Nutrition/Nutritionist.</t>
  </si>
  <si>
    <t>51.3103</t>
  </si>
  <si>
    <t>51.3103 Dietetic Technician.</t>
  </si>
  <si>
    <t>51.3104</t>
  </si>
  <si>
    <t>51.3104 Dietitian Assistant.</t>
  </si>
  <si>
    <t>51.3199</t>
  </si>
  <si>
    <t>51.3199 Dietetics and Clinical Nutrition Services, Other.</t>
  </si>
  <si>
    <t>51.32</t>
  </si>
  <si>
    <t>51.3201</t>
  </si>
  <si>
    <t>51.3201 Bioethics/Medical Ethics.</t>
  </si>
  <si>
    <t>51.3202</t>
  </si>
  <si>
    <t>51.3202 Health Professions Education.</t>
  </si>
  <si>
    <t>51.3203</t>
  </si>
  <si>
    <t>51.3203 Nursing Education.</t>
  </si>
  <si>
    <t>51.3204</t>
  </si>
  <si>
    <t>51.3204 Medical/Health Humanities.</t>
  </si>
  <si>
    <t>51.3205</t>
  </si>
  <si>
    <t>51.3205 History of Medicine.</t>
  </si>
  <si>
    <t>51.3206</t>
  </si>
  <si>
    <t>51.3206 Arts in Medicine/Health.</t>
  </si>
  <si>
    <t>51.3299</t>
  </si>
  <si>
    <t>51.3299 Health Professions Education, Ethics, and Humanities, Other.</t>
  </si>
  <si>
    <t>51.3300</t>
  </si>
  <si>
    <t>51.3300 Alternative and Complementary Medicine and Medical Systems, General.</t>
  </si>
  <si>
    <t>51.33</t>
  </si>
  <si>
    <t>51.3301</t>
  </si>
  <si>
    <t>51.3301 Acupuncture and Oriental Medicine.</t>
  </si>
  <si>
    <t>51.3302</t>
  </si>
  <si>
    <t>51.3302 Traditional Chinese Medicine and Chinese Herbology.</t>
  </si>
  <si>
    <t>51.3303</t>
  </si>
  <si>
    <t>51.3303 Naturopathic Medicine/Naturopathy.</t>
  </si>
  <si>
    <t>51.3304</t>
  </si>
  <si>
    <t>51.3304 Homeopathic Medicine/Homeopathy.</t>
  </si>
  <si>
    <t>51.3305</t>
  </si>
  <si>
    <t>51.3305 Ayurvedic Medicine/Ayurveda.</t>
  </si>
  <si>
    <t>51.3306</t>
  </si>
  <si>
    <t>51.3306 Holistic/Integrative Health.</t>
  </si>
  <si>
    <t>51.3399</t>
  </si>
  <si>
    <t>51.3399 Alternative and Complementary Medicine and Medical Systems, Other.</t>
  </si>
  <si>
    <t>51.34</t>
  </si>
  <si>
    <t>51.3401</t>
  </si>
  <si>
    <t>51.3401 Direct Entry Midwifery.</t>
  </si>
  <si>
    <t>51.3499</t>
  </si>
  <si>
    <t>51.3499 Alternative and Complementary Medical Support Services, Other.</t>
  </si>
  <si>
    <t>51.35</t>
  </si>
  <si>
    <t>51.3501</t>
  </si>
  <si>
    <t>51.3501 Massage Therapy/Therapeutic Massage.</t>
  </si>
  <si>
    <t>51.3502</t>
  </si>
  <si>
    <t>51.3502 Asian Bodywork Therapy.</t>
  </si>
  <si>
    <t>51.3503</t>
  </si>
  <si>
    <t>51.3503 Somatic Bodywork.</t>
  </si>
  <si>
    <t>51.3599</t>
  </si>
  <si>
    <t>51.3599 Somatic Bodywork and Related Therapeutic Services, Other.</t>
  </si>
  <si>
    <t>51.36</t>
  </si>
  <si>
    <t>51.3601</t>
  </si>
  <si>
    <t>51.3601 Movement Therapy and Movement Education.</t>
  </si>
  <si>
    <t>51.3602</t>
  </si>
  <si>
    <t>51.3602 Yoga Teacher Training/Yoga Therapy.</t>
  </si>
  <si>
    <t>51.3603</t>
  </si>
  <si>
    <t>51.3603 Hypnotherapy/Hypnotherapist.</t>
  </si>
  <si>
    <t>51.3699</t>
  </si>
  <si>
    <t>51.3699 Movement and Mind-Body Therapies and Education, Other.</t>
  </si>
  <si>
    <t>51.37</t>
  </si>
  <si>
    <t>51.3701</t>
  </si>
  <si>
    <t>51.3701 Aromatherapy.</t>
  </si>
  <si>
    <t>51.3702</t>
  </si>
  <si>
    <t>51.3702 Herbalism/Herbalist.</t>
  </si>
  <si>
    <t>51.3703</t>
  </si>
  <si>
    <t>51.3703 Polarity Therapy.</t>
  </si>
  <si>
    <t>51.3704</t>
  </si>
  <si>
    <t>51.3704 Reiki.</t>
  </si>
  <si>
    <t>51.3799</t>
  </si>
  <si>
    <t>51.3799 Energy and Biologically Based Therapies, Other.</t>
  </si>
  <si>
    <t>51.38</t>
  </si>
  <si>
    <t>51.3801</t>
  </si>
  <si>
    <t>51.3801 Registered Nursing/Registered Nurse.</t>
  </si>
  <si>
    <t>51.3802</t>
  </si>
  <si>
    <t>51.3802 Nursing Administration.</t>
  </si>
  <si>
    <t>51.3803</t>
  </si>
  <si>
    <t>51.3803 Adult Health Nurse/Nursing.</t>
  </si>
  <si>
    <t>51.3804</t>
  </si>
  <si>
    <t>51.3804 Nurse Anesthetist.</t>
  </si>
  <si>
    <t>51.3805</t>
  </si>
  <si>
    <t>51.3805 Family Practice Nurse/Nursing.</t>
  </si>
  <si>
    <t>51.3806</t>
  </si>
  <si>
    <t>51.3806 Maternal/Child Health and Neonatal Nurse/Nursing.</t>
  </si>
  <si>
    <t>51.3807</t>
  </si>
  <si>
    <t>51.3807 Nurse Midwife/Nursing Midwifery.</t>
  </si>
  <si>
    <t>51.3808</t>
  </si>
  <si>
    <t>51.3808 Nursing Science.</t>
  </si>
  <si>
    <t>51.3809</t>
  </si>
  <si>
    <t>51.3809 Pediatric Nurse/Nursing.</t>
  </si>
  <si>
    <t>51.3810</t>
  </si>
  <si>
    <t>51.3810 Psychiatric/Mental Health Nurse/Nursing.</t>
  </si>
  <si>
    <t>51.3811</t>
  </si>
  <si>
    <t>51.3811 Public Health/Community Nurse/Nursing.</t>
  </si>
  <si>
    <t>51.3812</t>
  </si>
  <si>
    <t>51.3812 Perioperative/Operating Room and Surgical Nurse/Nursing.</t>
  </si>
  <si>
    <t>51.3813</t>
  </si>
  <si>
    <t>51.3813 Clinical Nurse Specialist.</t>
  </si>
  <si>
    <t>51.3814</t>
  </si>
  <si>
    <t>51.3814 Critical Care Nursing.</t>
  </si>
  <si>
    <t>51.3815</t>
  </si>
  <si>
    <t>51.3815 Occupational and Environmental Health Nursing.</t>
  </si>
  <si>
    <t>51.3816</t>
  </si>
  <si>
    <t>51.3816 Emergency Room/Trauma Nursing.</t>
  </si>
  <si>
    <t>51.3817</t>
  </si>
  <si>
    <t>51.3817 Nursing Education.</t>
  </si>
  <si>
    <t>51.3818</t>
  </si>
  <si>
    <t>51.3818 Nursing Practice.</t>
  </si>
  <si>
    <t>51.3819</t>
  </si>
  <si>
    <t>51.3819 Palliative Care Nursing.</t>
  </si>
  <si>
    <t>51.3820</t>
  </si>
  <si>
    <t>51.3820 Clinical Nurse Leader.</t>
  </si>
  <si>
    <t>51.3821</t>
  </si>
  <si>
    <t>51.3821 Geriatric Nurse/Nursing.</t>
  </si>
  <si>
    <t>51.3822</t>
  </si>
  <si>
    <t>51.3822 Women's Health Nurse/Nursing.</t>
  </si>
  <si>
    <t>51.3823</t>
  </si>
  <si>
    <t>51.3823 Reserved.</t>
  </si>
  <si>
    <t>51.3824</t>
  </si>
  <si>
    <t>51.3824 Forensic Nursing.</t>
  </si>
  <si>
    <t>51.3899</t>
  </si>
  <si>
    <t>51.3899 Registered Nursing, Nursing Administration, Nursing Research and Clinical Nursing, Other.</t>
  </si>
  <si>
    <t>51.39</t>
  </si>
  <si>
    <t>51.3901</t>
  </si>
  <si>
    <t>51.3901 Licensed Practical/Vocational Nurse Training.</t>
  </si>
  <si>
    <t>51.3902</t>
  </si>
  <si>
    <t>51.3902 Nursing Assistant/Aide and Patient Care Assistant/Aide.</t>
  </si>
  <si>
    <t>51.3999</t>
  </si>
  <si>
    <t>51.3999 Practical Nursing, Vocational Nursing and Nursing Assistants, Other.</t>
  </si>
  <si>
    <t>51.99</t>
  </si>
  <si>
    <t>51.9980</t>
  </si>
  <si>
    <t>51.9980 Reserved.</t>
  </si>
  <si>
    <t>51.9999</t>
  </si>
  <si>
    <t>51.9999 Health Professions and Related Clinical Sciences, Other.</t>
  </si>
  <si>
    <t>52</t>
  </si>
  <si>
    <t>52.01</t>
  </si>
  <si>
    <t>52.0101</t>
  </si>
  <si>
    <t>52.0101 Business/Commerce, General.</t>
  </si>
  <si>
    <t>52.02</t>
  </si>
  <si>
    <t>52.0201</t>
  </si>
  <si>
    <t>52.0201 Business Administration and Management, General.</t>
  </si>
  <si>
    <t>52.0202</t>
  </si>
  <si>
    <t>52.0202 Purchasing, Procurement/Acquisitions and Contracts Management.</t>
  </si>
  <si>
    <t>52.0203</t>
  </si>
  <si>
    <t>52.0203 Logistics, Materials, and Supply Chain Management.</t>
  </si>
  <si>
    <t>52.0204</t>
  </si>
  <si>
    <t>52.0204 Office Management and Supervision.</t>
  </si>
  <si>
    <t>52.0205</t>
  </si>
  <si>
    <t>52.0205 Operations Management and Supervision.</t>
  </si>
  <si>
    <t>52.0206</t>
  </si>
  <si>
    <t>52.0206 Non-Profit/Public/Organizational Management.</t>
  </si>
  <si>
    <t>52.0207</t>
  </si>
  <si>
    <t>52.0207 Customer Service Management.</t>
  </si>
  <si>
    <t>52.0208</t>
  </si>
  <si>
    <t>52.0208 E-Commerce/Electronic Commerce.</t>
  </si>
  <si>
    <t>52.0209</t>
  </si>
  <si>
    <t>52.0209 Transportation/Mobility Management.</t>
  </si>
  <si>
    <t>52.0210</t>
  </si>
  <si>
    <t>52.0210 Research and Development Management.</t>
  </si>
  <si>
    <t>52.0211</t>
  </si>
  <si>
    <t>52.0211 Project Management.</t>
  </si>
  <si>
    <t>52.0212</t>
  </si>
  <si>
    <t>52.0212 Retail Management.</t>
  </si>
  <si>
    <t>52.0213</t>
  </si>
  <si>
    <t>52.0213 Organizational Leadership.</t>
  </si>
  <si>
    <t>52.0214</t>
  </si>
  <si>
    <t>52.0214 Research Administration.</t>
  </si>
  <si>
    <t>52.0215</t>
  </si>
  <si>
    <t>52.0215 Risk Management.</t>
  </si>
  <si>
    <t>52.0216</t>
  </si>
  <si>
    <t>52.0216 Science/Technology Management.</t>
  </si>
  <si>
    <t>52.0299</t>
  </si>
  <si>
    <t>52.0299 Business Administration, Management and Operations, Other.</t>
  </si>
  <si>
    <t>52.03</t>
  </si>
  <si>
    <t>52.0301</t>
  </si>
  <si>
    <t>52.0301 Accounting.</t>
  </si>
  <si>
    <t>52.0302</t>
  </si>
  <si>
    <t>52.0302 Accounting Technology/Technician and Bookkeeping.</t>
  </si>
  <si>
    <t>52.0303</t>
  </si>
  <si>
    <t>52.0303 Auditing.</t>
  </si>
  <si>
    <t>52.0304</t>
  </si>
  <si>
    <t>52.0304 Accounting and Finance.</t>
  </si>
  <si>
    <t>52.0305</t>
  </si>
  <si>
    <t>52.0305 Accounting and Business/Management.</t>
  </si>
  <si>
    <t>52.0399</t>
  </si>
  <si>
    <t>52.0399 Accounting and Related Services, Other.</t>
  </si>
  <si>
    <t>52.04</t>
  </si>
  <si>
    <t>52.0401</t>
  </si>
  <si>
    <t>52.0401 Administrative Assistant and Secretarial Science, General.</t>
  </si>
  <si>
    <t>52.0402</t>
  </si>
  <si>
    <t>52.0402 Executive Assistant/Executive Secretary.</t>
  </si>
  <si>
    <t>52.0406</t>
  </si>
  <si>
    <t>52.0406 Receptionist.</t>
  </si>
  <si>
    <t>52.0407</t>
  </si>
  <si>
    <t>52.0407 Business/Office Automation/Technology/Data Entry.</t>
  </si>
  <si>
    <t>52.0408</t>
  </si>
  <si>
    <t>52.0408 General Office Occupations and Clerical Services.</t>
  </si>
  <si>
    <t>52.0409</t>
  </si>
  <si>
    <t>52.0409 Parts, Warehousing, and Inventory Management Operations.</t>
  </si>
  <si>
    <t>52.0410</t>
  </si>
  <si>
    <t>52.0410 Traffic, Customs, and Transportation Clerk/Technician.</t>
  </si>
  <si>
    <t>52.0411</t>
  </si>
  <si>
    <t>52.0411 Customer Service Support/Call Center/Teleservice Operation.</t>
  </si>
  <si>
    <t>52.0499</t>
  </si>
  <si>
    <t>52.0499 Business Operations Support and Secretarial Services, Other.</t>
  </si>
  <si>
    <t>52.05</t>
  </si>
  <si>
    <t>52.0501</t>
  </si>
  <si>
    <t>52.0501 Business/Corporate Communications, General.</t>
  </si>
  <si>
    <t>52.0502</t>
  </si>
  <si>
    <t>52.0502 Grantsmanship.</t>
  </si>
  <si>
    <t>52.0599</t>
  </si>
  <si>
    <t>52.0599 Business/Corporate Communications, Other.</t>
  </si>
  <si>
    <t>52.06</t>
  </si>
  <si>
    <t>52.0601</t>
  </si>
  <si>
    <t>52.0601 Business/Managerial Economics.</t>
  </si>
  <si>
    <t>52.07</t>
  </si>
  <si>
    <t>52.0701</t>
  </si>
  <si>
    <t>52.0701 Entrepreneurship/Entrepreneurial Studies.</t>
  </si>
  <si>
    <t>52.0702</t>
  </si>
  <si>
    <t>52.0702 Franchising and Franchise Operations.</t>
  </si>
  <si>
    <t>52.0703</t>
  </si>
  <si>
    <t>52.0703 Small Business Administration/Management.</t>
  </si>
  <si>
    <t>52.0704</t>
  </si>
  <si>
    <t>52.0704 Social Entrepreneurship.</t>
  </si>
  <si>
    <t>52.0799</t>
  </si>
  <si>
    <t>52.0799 Entrepreneurial and Small Business Operations, Other.</t>
  </si>
  <si>
    <t>52.08</t>
  </si>
  <si>
    <t>52.0801</t>
  </si>
  <si>
    <t>52.0801 Finance, General.</t>
  </si>
  <si>
    <t>52.0803</t>
  </si>
  <si>
    <t>52.0803 Banking and Financial Support Services.</t>
  </si>
  <si>
    <t>52.0804</t>
  </si>
  <si>
    <t>52.0804 Financial Planning and Services.</t>
  </si>
  <si>
    <t>52.0806</t>
  </si>
  <si>
    <t>52.0806 International Finance.</t>
  </si>
  <si>
    <t>52.0807</t>
  </si>
  <si>
    <t>52.0807 Investments and Securities.</t>
  </si>
  <si>
    <t>52.0808</t>
  </si>
  <si>
    <t>52.0808 Public Finance.</t>
  </si>
  <si>
    <t>52.0809</t>
  </si>
  <si>
    <t>52.0809 Credit Management.</t>
  </si>
  <si>
    <t>52.0810</t>
  </si>
  <si>
    <t>52.0810 Financial Risk Management.</t>
  </si>
  <si>
    <t>52.0899</t>
  </si>
  <si>
    <t>52.0899 Finance and Financial Management Services, Other.</t>
  </si>
  <si>
    <t>52.09</t>
  </si>
  <si>
    <t>52.0901</t>
  </si>
  <si>
    <t>52.0901 Hospitality Administration/Management, General.</t>
  </si>
  <si>
    <t>52.0903</t>
  </si>
  <si>
    <t>52.0903 Tourism and Travel Services Management.</t>
  </si>
  <si>
    <t>52.0904</t>
  </si>
  <si>
    <t>52.0904 Hotel/Motel Administration/Management.</t>
  </si>
  <si>
    <t>52.0905</t>
  </si>
  <si>
    <t>52.0905 Restaurant/Food Services Management.</t>
  </si>
  <si>
    <t>52.0906</t>
  </si>
  <si>
    <t>52.0906 Resort Management.</t>
  </si>
  <si>
    <t>52.0907</t>
  </si>
  <si>
    <t>52.0907 Meeting and Event Planning.</t>
  </si>
  <si>
    <t>52.0908</t>
  </si>
  <si>
    <t>52.0908 Casino Management.</t>
  </si>
  <si>
    <t>52.0909</t>
  </si>
  <si>
    <t>52.0909 Hotel, Motel, and Restaurant Management.</t>
  </si>
  <si>
    <t>52.0910</t>
  </si>
  <si>
    <t>52.0910 Brewery/Brewpub Operations/Management.</t>
  </si>
  <si>
    <t>52.0999</t>
  </si>
  <si>
    <t>52.0999 Hospitality Administration/Management, Other.</t>
  </si>
  <si>
    <t>52.10</t>
  </si>
  <si>
    <t>52.1001</t>
  </si>
  <si>
    <t>52.1001 Human Resources Management/Personnel Administration, General.</t>
  </si>
  <si>
    <t>52.1002</t>
  </si>
  <si>
    <t>52.1002 Labor and Industrial Relations.</t>
  </si>
  <si>
    <t>52.1003</t>
  </si>
  <si>
    <t>52.1003 Organizational Behavior Studies.</t>
  </si>
  <si>
    <t>52.1004</t>
  </si>
  <si>
    <t>52.1004 Labor Studies.</t>
  </si>
  <si>
    <t>52.1005</t>
  </si>
  <si>
    <t>52.1005 Human Resources Development.</t>
  </si>
  <si>
    <t>52.1006</t>
  </si>
  <si>
    <t>52.1006 Executive/Career Coaching.</t>
  </si>
  <si>
    <t>52.1099</t>
  </si>
  <si>
    <t>52.1099 Human Resources Management and Services, Other.</t>
  </si>
  <si>
    <t>52.11</t>
  </si>
  <si>
    <t>52.1101</t>
  </si>
  <si>
    <t>52.1101 International Business/Trade/Commerce.</t>
  </si>
  <si>
    <t>52.12</t>
  </si>
  <si>
    <t>52.1201</t>
  </si>
  <si>
    <t>52.1201 Management Information Systems, General.</t>
  </si>
  <si>
    <t>52.1206</t>
  </si>
  <si>
    <t>52.1206 Information Resources Management.</t>
  </si>
  <si>
    <t>52.1207</t>
  </si>
  <si>
    <t>52.1207 Knowledge Management.</t>
  </si>
  <si>
    <t>52.1299</t>
  </si>
  <si>
    <t>52.1299 Management Information Systems and Services, Other.</t>
  </si>
  <si>
    <t>52.13</t>
  </si>
  <si>
    <t>52.1301</t>
  </si>
  <si>
    <t>52.1301 Management Science.</t>
  </si>
  <si>
    <t>52.1302</t>
  </si>
  <si>
    <t>52.1302 Business Statistics.</t>
  </si>
  <si>
    <t>52.1304</t>
  </si>
  <si>
    <t>52.1304 Actuarial Science.</t>
  </si>
  <si>
    <t>52.1399</t>
  </si>
  <si>
    <t>52.1399 Management Sciences and Quantitative Methods, Other.</t>
  </si>
  <si>
    <t>52.14</t>
  </si>
  <si>
    <t>52.1401</t>
  </si>
  <si>
    <t>52.1401 Marketing/Marketing Management, General.</t>
  </si>
  <si>
    <t>52.1402</t>
  </si>
  <si>
    <t>52.1402 Marketing Research.</t>
  </si>
  <si>
    <t>52.1403</t>
  </si>
  <si>
    <t>52.1403 International Marketing.</t>
  </si>
  <si>
    <t>52.1404</t>
  </si>
  <si>
    <t>52.1404 Digital Marketing.</t>
  </si>
  <si>
    <t>52.1499</t>
  </si>
  <si>
    <t>52.1499 Marketing, Other.</t>
  </si>
  <si>
    <t>52.15</t>
  </si>
  <si>
    <t>52.1501</t>
  </si>
  <si>
    <t>52.1501 Real Estate.</t>
  </si>
  <si>
    <t>52.16</t>
  </si>
  <si>
    <t>52.1601</t>
  </si>
  <si>
    <t>52.1601 Taxation.</t>
  </si>
  <si>
    <t>52.17</t>
  </si>
  <si>
    <t>52.1701</t>
  </si>
  <si>
    <t>52.1701 Insurance.</t>
  </si>
  <si>
    <t>52.18</t>
  </si>
  <si>
    <t>52.1801</t>
  </si>
  <si>
    <t>52.1801 Sales, Distribution, and Marketing Operations, General.</t>
  </si>
  <si>
    <t>52.1802</t>
  </si>
  <si>
    <t>52.1802 Merchandising and Buying Operations.</t>
  </si>
  <si>
    <t>52.1803</t>
  </si>
  <si>
    <t>52.1803 Retailing and Retail Operations.</t>
  </si>
  <si>
    <t>52.1804</t>
  </si>
  <si>
    <t>52.1804 Selling Skills and Sales Operations.</t>
  </si>
  <si>
    <t>52.1880</t>
  </si>
  <si>
    <t>52.1880 Reserved.</t>
  </si>
  <si>
    <t>52.1899</t>
  </si>
  <si>
    <t>52.1899 General Merchandising, Sales, and Related Marketing Operations, Other.</t>
  </si>
  <si>
    <t>52.19</t>
  </si>
  <si>
    <t>52.1901</t>
  </si>
  <si>
    <t>52.1901 Auctioneering.</t>
  </si>
  <si>
    <t>52.1902</t>
  </si>
  <si>
    <t>52.1902 Fashion Merchandising.</t>
  </si>
  <si>
    <t>52.1903</t>
  </si>
  <si>
    <t>52.1903 Fashion Modeling.</t>
  </si>
  <si>
    <t>52.1904</t>
  </si>
  <si>
    <t>52.1904 Apparel and Accessories Marketing Operations.</t>
  </si>
  <si>
    <t>52.1905</t>
  </si>
  <si>
    <t>52.1905 Tourism and Travel Services Marketing Operations.</t>
  </si>
  <si>
    <t>52.1906</t>
  </si>
  <si>
    <t>52.1906 Tourism Promotion Operations.</t>
  </si>
  <si>
    <t>52.1907</t>
  </si>
  <si>
    <t>52.1907 Vehicle and Vehicle Parts and Accessories Marketing Operations.</t>
  </si>
  <si>
    <t>52.1908</t>
  </si>
  <si>
    <t>52.1908 Business and Personal/Financial Services Marketing Operations.</t>
  </si>
  <si>
    <t>52.1909</t>
  </si>
  <si>
    <t>52.1909 Special Products Marketing Operations.</t>
  </si>
  <si>
    <t>52.1910</t>
  </si>
  <si>
    <t>52.1910 Hospitality and Recreation Marketing Operations.</t>
  </si>
  <si>
    <t>52.1980</t>
  </si>
  <si>
    <t>52.1980 Reserved.</t>
  </si>
  <si>
    <t>52.1999</t>
  </si>
  <si>
    <t>52.1999 Specialized Merchandising, Sales, and Marketing Operations, Other.</t>
  </si>
  <si>
    <t>52.20</t>
  </si>
  <si>
    <t>52.2001</t>
  </si>
  <si>
    <t>52.2001 Construction Management, General.</t>
  </si>
  <si>
    <t>52.2002</t>
  </si>
  <si>
    <t>52.2002 Construction Project Management.</t>
  </si>
  <si>
    <t>52.2099</t>
  </si>
  <si>
    <t>52.2099 Construction Management, Other.</t>
  </si>
  <si>
    <t>52.21</t>
  </si>
  <si>
    <t>52.2101</t>
  </si>
  <si>
    <t>52.2101 Telecommunications Management.</t>
  </si>
  <si>
    <t>52.99</t>
  </si>
  <si>
    <t>52.9999</t>
  </si>
  <si>
    <t>52.9999 Business, Management, Marketing, and Related Support Services, Other.</t>
  </si>
  <si>
    <t>53</t>
  </si>
  <si>
    <t>53.01</t>
  </si>
  <si>
    <t>53.0101</t>
  </si>
  <si>
    <t>53.0101 Regular/General High School/Secondary Diploma Program.</t>
  </si>
  <si>
    <t>53.0102</t>
  </si>
  <si>
    <t>53.0102 College/University Preparatory and Advanced High School/Secondary Diploma Program.</t>
  </si>
  <si>
    <t>53.0103</t>
  </si>
  <si>
    <t>53.0103 Vocational High School and Secondary Business/Vocational-Industrial/Occupational Diploma Program.</t>
  </si>
  <si>
    <t>53.0104</t>
  </si>
  <si>
    <t>53.0104 Honors/Regents High School/Secondary Diploma Program.</t>
  </si>
  <si>
    <t>53.0105</t>
  </si>
  <si>
    <t>53.0105 Adult High School/Secondary Diploma Program.</t>
  </si>
  <si>
    <t>53.0199</t>
  </si>
  <si>
    <t>53.0199 High School/Secondary Diploma Programs, Other.</t>
  </si>
  <si>
    <t>53.02</t>
  </si>
  <si>
    <t>53.0201</t>
  </si>
  <si>
    <t>53.0201 High School Equivalence Certificate Program.</t>
  </si>
  <si>
    <t>53.0202</t>
  </si>
  <si>
    <t>53.0202 High School Certificate of Competence Program.</t>
  </si>
  <si>
    <t>53.0203</t>
  </si>
  <si>
    <t>53.0203 Certificate of IEP Completion Program.</t>
  </si>
  <si>
    <t>53.0299</t>
  </si>
  <si>
    <t>53.0299 High School/Secondary Certificates, Other.</t>
  </si>
  <si>
    <t>54</t>
  </si>
  <si>
    <t>54.01</t>
  </si>
  <si>
    <t>54.0101</t>
  </si>
  <si>
    <t>54.0101 History, General.</t>
  </si>
  <si>
    <t>54.0102</t>
  </si>
  <si>
    <t>54.0102 American  History (United States).</t>
  </si>
  <si>
    <t>54.0103</t>
  </si>
  <si>
    <t>54.0103 European History.</t>
  </si>
  <si>
    <t>54.0104</t>
  </si>
  <si>
    <t>54.0104 History and Philosophy of Science and Technology.</t>
  </si>
  <si>
    <t>54.0105</t>
  </si>
  <si>
    <t>54.0105 Public/Applied History.</t>
  </si>
  <si>
    <t>54.0106</t>
  </si>
  <si>
    <t>54.0106 Asian History.</t>
  </si>
  <si>
    <t>54.0107</t>
  </si>
  <si>
    <t>54.0107 Canadian History.</t>
  </si>
  <si>
    <t>54.0108</t>
  </si>
  <si>
    <t>54.0108 Military History.</t>
  </si>
  <si>
    <t>54.0199</t>
  </si>
  <si>
    <t>54.0199 History, Other.</t>
  </si>
  <si>
    <t>55</t>
  </si>
  <si>
    <t>55.01</t>
  </si>
  <si>
    <t>55.0101</t>
  </si>
  <si>
    <t>55.0101 Reserved.</t>
  </si>
  <si>
    <t>55.13</t>
  </si>
  <si>
    <t>55.1301</t>
  </si>
  <si>
    <t>55.1301 Reserved.</t>
  </si>
  <si>
    <t>55.1302</t>
  </si>
  <si>
    <t>55.1302 Reserved.</t>
  </si>
  <si>
    <t>55.1303</t>
  </si>
  <si>
    <t>55.1303 Reserved.</t>
  </si>
  <si>
    <t>55.1304</t>
  </si>
  <si>
    <t>55.1304 Reserved.</t>
  </si>
  <si>
    <t>55.1399</t>
  </si>
  <si>
    <t>55.1399 Reserved.</t>
  </si>
  <si>
    <t>55.14</t>
  </si>
  <si>
    <t>55.1401</t>
  </si>
  <si>
    <t>55.1401 Reserved.</t>
  </si>
  <si>
    <t>55.1403</t>
  </si>
  <si>
    <t>55.1403 Reserved.</t>
  </si>
  <si>
    <t>55.1404</t>
  </si>
  <si>
    <t>55.1404 Reserved.</t>
  </si>
  <si>
    <t>55.1405</t>
  </si>
  <si>
    <t>55.1405 Reserved.</t>
  </si>
  <si>
    <t>55.1499</t>
  </si>
  <si>
    <t>55.1499 Reserved.</t>
  </si>
  <si>
    <t>55.99</t>
  </si>
  <si>
    <t>55.9999</t>
  </si>
  <si>
    <t>55.9999 Reserved.</t>
  </si>
  <si>
    <t>60</t>
  </si>
  <si>
    <t>60.01</t>
  </si>
  <si>
    <t>60.0101</t>
  </si>
  <si>
    <t>60.0101 Oral and Maxillofacial Surgery Residency Program.</t>
  </si>
  <si>
    <t>60.0102</t>
  </si>
  <si>
    <t>60.0102 Dental Public Health Residency Program.</t>
  </si>
  <si>
    <t>60.0103</t>
  </si>
  <si>
    <t>60.0103 Endodontics Residency Program.</t>
  </si>
  <si>
    <t>60.0104</t>
  </si>
  <si>
    <t>60.0104 Oral and Maxillofacial Pathology Residency Program.</t>
  </si>
  <si>
    <t>60.0105</t>
  </si>
  <si>
    <t>60.0105 Orthodontics Residency Program.</t>
  </si>
  <si>
    <t>60.0106</t>
  </si>
  <si>
    <t>60.0106 Pediatric Dentistry Residency Program.</t>
  </si>
  <si>
    <t>60.0107</t>
  </si>
  <si>
    <t>60.0107 Periodontology Residency Program.</t>
  </si>
  <si>
    <t>60.0108</t>
  </si>
  <si>
    <t>60.0108 Prosthodontics Residency Program.</t>
  </si>
  <si>
    <t>60.0109</t>
  </si>
  <si>
    <t>60.0109 Oral and Maxillofacial Radiology Residency Program.</t>
  </si>
  <si>
    <t>60.0110</t>
  </si>
  <si>
    <t>60.0110 Implantology Fellowship Program.</t>
  </si>
  <si>
    <t>60.0199</t>
  </si>
  <si>
    <t>60.0199 Dental Residency/Fellowship Program, Other.</t>
  </si>
  <si>
    <t>60.03</t>
  </si>
  <si>
    <t>60.0301</t>
  </si>
  <si>
    <t>60.0301 Veterinary Anesthesiology Residency Program.</t>
  </si>
  <si>
    <t>60.0302</t>
  </si>
  <si>
    <t>60.0302 Veterinary Dentistry Residency Program.</t>
  </si>
  <si>
    <t>60.0303</t>
  </si>
  <si>
    <t>60.0303 Veterinary Dermatology Residency Program.</t>
  </si>
  <si>
    <t>60.0304</t>
  </si>
  <si>
    <t>60.0304 Veterinary Emergency and Critical Care Medicine Residency Program.</t>
  </si>
  <si>
    <t>60.0305</t>
  </si>
  <si>
    <t>60.0305 Veterinary Internal Medicine Residency Program.</t>
  </si>
  <si>
    <t>60.0306</t>
  </si>
  <si>
    <t>60.0306 Laboratory Animal Medicine Residency Program.</t>
  </si>
  <si>
    <t>60.0307</t>
  </si>
  <si>
    <t>60.0307 Veterinary Microbiology Residency Program.</t>
  </si>
  <si>
    <t>60.0308</t>
  </si>
  <si>
    <t>60.0308 Veterinary Nutrition Residency Program.</t>
  </si>
  <si>
    <t>60.0309</t>
  </si>
  <si>
    <t>60.0309 Veterinary Ophthalmology Residency Program.</t>
  </si>
  <si>
    <t>60.0310</t>
  </si>
  <si>
    <t>60.0310 Veterinary Pathology Residency Program.</t>
  </si>
  <si>
    <t>60.0311</t>
  </si>
  <si>
    <t>60.0311 Veterinary Practice Residency Program.</t>
  </si>
  <si>
    <t>60.0312</t>
  </si>
  <si>
    <t>60.0312 Veterinary Preventive Medicine Residency Program.</t>
  </si>
  <si>
    <t>60.0313</t>
  </si>
  <si>
    <t>60.0313 Veterinary Radiology Residency Program.</t>
  </si>
  <si>
    <t>60.0314</t>
  </si>
  <si>
    <t>60.0314 Veterinary Surgery Residency Program.</t>
  </si>
  <si>
    <t>60.0315</t>
  </si>
  <si>
    <t>60.0315 Theriogenology Residency Program.</t>
  </si>
  <si>
    <t>60.0316</t>
  </si>
  <si>
    <t>60.0316 Veterinary Toxicology Residency Program.</t>
  </si>
  <si>
    <t>60.0317</t>
  </si>
  <si>
    <t>60.0317 Zoological Medicine Residency Program.</t>
  </si>
  <si>
    <t>60.0318</t>
  </si>
  <si>
    <t>60.0318 Poultry Veterinarian Residency Program.</t>
  </si>
  <si>
    <t>60.0319</t>
  </si>
  <si>
    <t>60.0319 Veterinary Behaviorist Residency Program.</t>
  </si>
  <si>
    <t>60.0320</t>
  </si>
  <si>
    <t>60.0320 Veterinary Clinical Pharmacology Residency Program.</t>
  </si>
  <si>
    <t>60.0399</t>
  </si>
  <si>
    <t>60.0399 Veterinary Residency/Fellowship Program, Other.</t>
  </si>
  <si>
    <t>60.04</t>
  </si>
  <si>
    <t>60.0401</t>
  </si>
  <si>
    <t>60.0401 Aerospace Medicine Residency Program.</t>
  </si>
  <si>
    <t>60.0402</t>
  </si>
  <si>
    <t>60.0402 Allergy and Immunology Residency Program.</t>
  </si>
  <si>
    <t>60.0403</t>
  </si>
  <si>
    <t>60.0403 Anesthesiology Residency Program.</t>
  </si>
  <si>
    <t>60.0404</t>
  </si>
  <si>
    <t>60.0404 Child Neurology Residency Program.</t>
  </si>
  <si>
    <t>60.0405</t>
  </si>
  <si>
    <t>60.0405 Clinical Biochemical Genetics Residency Program.</t>
  </si>
  <si>
    <t>60.0406</t>
  </si>
  <si>
    <t>60.0406 Clinical Cytogenetics Residency Program.</t>
  </si>
  <si>
    <t>60.0407</t>
  </si>
  <si>
    <t>60.0407 Clinical Genetics Residency Program.</t>
  </si>
  <si>
    <t>60.0408</t>
  </si>
  <si>
    <t>60.0408 Clinical Molecular Genetics Residency Program.</t>
  </si>
  <si>
    <t>60.0409</t>
  </si>
  <si>
    <t>60.0409 Colon and Rectal Surgery Residency Program.</t>
  </si>
  <si>
    <t>60.0410</t>
  </si>
  <si>
    <t>60.0410 Dermatology Residency Program.</t>
  </si>
  <si>
    <t>60.0411</t>
  </si>
  <si>
    <t>60.0411 Diagnostic Radiology Residency Program.</t>
  </si>
  <si>
    <t>60.0412</t>
  </si>
  <si>
    <t>60.0412 Emergency Medicine Residency Program.</t>
  </si>
  <si>
    <t>60.0413</t>
  </si>
  <si>
    <t>60.0413 Family Medicine Residency Program.</t>
  </si>
  <si>
    <t>60.0414</t>
  </si>
  <si>
    <t>60.0414 General Surgery Residency Program.</t>
  </si>
  <si>
    <t>60.0415</t>
  </si>
  <si>
    <t>60.0415 Internal Medicine Residency Program.</t>
  </si>
  <si>
    <t>60.0416</t>
  </si>
  <si>
    <t>60.0416 Neurological Surgery Residency Program.</t>
  </si>
  <si>
    <t>60.0417</t>
  </si>
  <si>
    <t>60.0417 Neurology Residency Program.</t>
  </si>
  <si>
    <t>60.0418</t>
  </si>
  <si>
    <t>60.0418 Nuclear Medicine Residency Program.</t>
  </si>
  <si>
    <t>60.0419</t>
  </si>
  <si>
    <t>60.0419 Obstetrics and Gynecology Residency Program.</t>
  </si>
  <si>
    <t>60.0420</t>
  </si>
  <si>
    <t>60.0420 Occupational Medicine Residency Program.</t>
  </si>
  <si>
    <t>60.0421</t>
  </si>
  <si>
    <t>60.0421 Ophthalmology Residency Program.</t>
  </si>
  <si>
    <t>60.0422</t>
  </si>
  <si>
    <t>60.0422 Orthopedic Surgery Residency Program.</t>
  </si>
  <si>
    <t>60.0423</t>
  </si>
  <si>
    <t>60.0423 Otolaryngology Residency Program.</t>
  </si>
  <si>
    <t>60.0424</t>
  </si>
  <si>
    <t>60.0424 Pathology Residency Program.</t>
  </si>
  <si>
    <t>60.0425</t>
  </si>
  <si>
    <t>60.0425 Pediatrics Residency Program.</t>
  </si>
  <si>
    <t>60.0426</t>
  </si>
  <si>
    <t>60.0426 Physical Medicine and Rehabilitation Residency Program.</t>
  </si>
  <si>
    <t>60.0427</t>
  </si>
  <si>
    <t>60.0427 Plastic Surgery Residency Program.</t>
  </si>
  <si>
    <t>60.0428</t>
  </si>
  <si>
    <t>60.0428 Psychiatry Residency Program.</t>
  </si>
  <si>
    <t>60.0429</t>
  </si>
  <si>
    <t>60.0429 Public Health and General Preventive Medicine Residency Program.</t>
  </si>
  <si>
    <t>60.0430</t>
  </si>
  <si>
    <t>60.0430 Radiation Oncology Residency Program.</t>
  </si>
  <si>
    <t>60.0431</t>
  </si>
  <si>
    <t>60.0431 Radiologic Physics Residency Program.</t>
  </si>
  <si>
    <t>60.0432</t>
  </si>
  <si>
    <t>60.0432 Thoracic Surgery Residency Program.</t>
  </si>
  <si>
    <t>60.0433</t>
  </si>
  <si>
    <t>60.0433 Urology Residency Program.</t>
  </si>
  <si>
    <t>60.0434</t>
  </si>
  <si>
    <t>60.0434 Vascular Surgery Residency Program.</t>
  </si>
  <si>
    <t>60.0499</t>
  </si>
  <si>
    <t>60.0499 Medical Residency Programs - General Certificates, Other.</t>
  </si>
  <si>
    <t>60.05</t>
  </si>
  <si>
    <t>60.0501</t>
  </si>
  <si>
    <t>60.0501 Addiction Psychiatry Residency Program.</t>
  </si>
  <si>
    <t>60.0502</t>
  </si>
  <si>
    <t>60.0502 Adolescent Medicine Residency Program.</t>
  </si>
  <si>
    <t>60.0503</t>
  </si>
  <si>
    <t>60.0503 Blood Banking/Transfusion Medicine Residency Program.</t>
  </si>
  <si>
    <t>60.0504</t>
  </si>
  <si>
    <t>60.0504 Cardiovascular Disease Residency Program.</t>
  </si>
  <si>
    <t>60.0505</t>
  </si>
  <si>
    <t>60.0505 Chemical Pathology Residency Program.</t>
  </si>
  <si>
    <t>60.0506</t>
  </si>
  <si>
    <t>60.0506 Child Abuse Pediatrics Residency Program.</t>
  </si>
  <si>
    <t>60.0507</t>
  </si>
  <si>
    <t>60.0507 Child and Adolescent Psychiatry Residency Program.</t>
  </si>
  <si>
    <t>60.0508</t>
  </si>
  <si>
    <t>60.0508 Clinical Cardiac Electrophysiology Residency Program.</t>
  </si>
  <si>
    <t>60.0509</t>
  </si>
  <si>
    <t>60.0509 Clinical Neurophysiology Residency Program.</t>
  </si>
  <si>
    <t>60.0510</t>
  </si>
  <si>
    <t>60.0510 Congenital Cardiac Surgery Residency Program.</t>
  </si>
  <si>
    <t>60.0511</t>
  </si>
  <si>
    <t>60.0511 Critical Care Medicine Residency Program.</t>
  </si>
  <si>
    <t>60.0512</t>
  </si>
  <si>
    <t>60.0512 Cytopathology Residency Program.</t>
  </si>
  <si>
    <t>60.0513</t>
  </si>
  <si>
    <t>60.0513 Dermatopathology Residency Program.</t>
  </si>
  <si>
    <t>60.0514</t>
  </si>
  <si>
    <t>60.0514 Developmental-Behavioral Pediatrics Residency Program.</t>
  </si>
  <si>
    <t>60.0515</t>
  </si>
  <si>
    <t>60.0515 Diagnostic Radiologic Physics Residency Program.</t>
  </si>
  <si>
    <t>60.0516</t>
  </si>
  <si>
    <t>60.0516 Endocrinology, Diabetes and Metabolism Residency Program.</t>
  </si>
  <si>
    <t>60.0517</t>
  </si>
  <si>
    <t>60.0517 Forensic Pathology Residency Program.</t>
  </si>
  <si>
    <t>60.0518</t>
  </si>
  <si>
    <t>60.0518 Forensic Psychiatry Residency Program.</t>
  </si>
  <si>
    <t>60.0519</t>
  </si>
  <si>
    <t>60.0519 Gastroenterology Residency Program.</t>
  </si>
  <si>
    <t>60.0520</t>
  </si>
  <si>
    <t>60.0520 Geriatric Medicine Residency Program.</t>
  </si>
  <si>
    <t>60.0521</t>
  </si>
  <si>
    <t>60.0521 Geriatric Psychiatry Residency Program.</t>
  </si>
  <si>
    <t>60.0522</t>
  </si>
  <si>
    <t>60.0522 Gynecologic Oncology Residency Program.</t>
  </si>
  <si>
    <t>60.0523</t>
  </si>
  <si>
    <t>60.0523 Hematological Pathology Residency Program.</t>
  </si>
  <si>
    <t>60.0524</t>
  </si>
  <si>
    <t>60.0524 Hematology Residency Program.</t>
  </si>
  <si>
    <t>60.0525</t>
  </si>
  <si>
    <t>60.0525 Hospice and Palliative Medicine Residency Program.</t>
  </si>
  <si>
    <t>60.0526</t>
  </si>
  <si>
    <t>60.0526 Immunopathology Residency Program.</t>
  </si>
  <si>
    <t>60.0527</t>
  </si>
  <si>
    <t>60.0527 Infectious Disease Residency Program.</t>
  </si>
  <si>
    <t>60.0528</t>
  </si>
  <si>
    <t>60.0528 Interventional Cardiology Residency Program.</t>
  </si>
  <si>
    <t>60.0529</t>
  </si>
  <si>
    <t>60.0529 Laboratory Medicine Residency Program.</t>
  </si>
  <si>
    <t>60.0530</t>
  </si>
  <si>
    <t>60.0530 Maternal and Fetal Medicine Residency Program.</t>
  </si>
  <si>
    <t>60.0531</t>
  </si>
  <si>
    <t>60.0531 Medical Biochemical Genetics Residency Program.</t>
  </si>
  <si>
    <t>60.0532</t>
  </si>
  <si>
    <t>60.0532 Medical Microbiology Residency Program.</t>
  </si>
  <si>
    <t>60.0533</t>
  </si>
  <si>
    <t>60.0533 Medical Nuclear Physics Residency Program.</t>
  </si>
  <si>
    <t>60.0534</t>
  </si>
  <si>
    <t>60.0534 Medical Oncology Residency Program.</t>
  </si>
  <si>
    <t>60.0535</t>
  </si>
  <si>
    <t>60.0535 Medical Toxicology Residency Program.</t>
  </si>
  <si>
    <t>60.0536</t>
  </si>
  <si>
    <t>60.0536 Molecular Genetic Pathology Residency Program.</t>
  </si>
  <si>
    <t>60.0537</t>
  </si>
  <si>
    <t>60.0537 Musculoskeletal Oncology Residency Program.</t>
  </si>
  <si>
    <t>60.0538</t>
  </si>
  <si>
    <t>60.0538 Neonatal-Perinatal Medicine Residency Program.</t>
  </si>
  <si>
    <t>60.0539</t>
  </si>
  <si>
    <t>60.0539 Nephrology Residency Program.</t>
  </si>
  <si>
    <t>60.0540</t>
  </si>
  <si>
    <t>60.0540 Neurodevelopmental Disabilities Residency Program.</t>
  </si>
  <si>
    <t>60.0541</t>
  </si>
  <si>
    <t>60.0541 Neuromuscular Medicine Residency Program.</t>
  </si>
  <si>
    <t>60.0542</t>
  </si>
  <si>
    <t>60.0542 Neuropathology Residency Program.</t>
  </si>
  <si>
    <t>60.0543</t>
  </si>
  <si>
    <t>60.0543 Neuroradiology Residency Program.</t>
  </si>
  <si>
    <t>60.0544</t>
  </si>
  <si>
    <t>60.0544 Neurotology Residency Program.</t>
  </si>
  <si>
    <t>60.0545</t>
  </si>
  <si>
    <t>60.0545 Nuclear Radiology Residency Program.</t>
  </si>
  <si>
    <t>60.0546</t>
  </si>
  <si>
    <t>60.0546 Orthopedic Sports Medicine Residency Program.</t>
  </si>
  <si>
    <t>60.0547</t>
  </si>
  <si>
    <t>60.0547 Orthopedic Surgery of the Spine Residency Program.</t>
  </si>
  <si>
    <t>60.0548</t>
  </si>
  <si>
    <t>60.0548 Pain Medicine Residency Program.</t>
  </si>
  <si>
    <t>60.0549</t>
  </si>
  <si>
    <t>60.0549 Pediatric Cardiology Residency Program.</t>
  </si>
  <si>
    <t>60.0550</t>
  </si>
  <si>
    <t>60.0550 Pediatric Critical Care Medicine Residency Program.</t>
  </si>
  <si>
    <t>60.0551</t>
  </si>
  <si>
    <t>60.0551 Pediatric Dermatology Residency Program.</t>
  </si>
  <si>
    <t>60.0552</t>
  </si>
  <si>
    <t>60.0552 Pediatric Emergency Medicine Residency Program.</t>
  </si>
  <si>
    <t>60.0553</t>
  </si>
  <si>
    <t>60.0553 Pediatric Endocrinology Residency Program.</t>
  </si>
  <si>
    <t>60.0554</t>
  </si>
  <si>
    <t>60.0554 Pediatric Gastroenterology Residency Program.</t>
  </si>
  <si>
    <t>60.0555</t>
  </si>
  <si>
    <t>60.0555 Pediatric Hematology-Oncology Residency Program.</t>
  </si>
  <si>
    <t>60.0556</t>
  </si>
  <si>
    <t>60.0556 Pediatric Infectious Diseases Residency Program.</t>
  </si>
  <si>
    <t>60.0557</t>
  </si>
  <si>
    <t>60.0557 Pediatric Nephrology Residency Program.</t>
  </si>
  <si>
    <t>60.0558</t>
  </si>
  <si>
    <t>60.0558 Pediatric Orthopedics Residency Program.</t>
  </si>
  <si>
    <t>60.0559</t>
  </si>
  <si>
    <t>60.0559 Pediatric Otolaryngology Residency Program.</t>
  </si>
  <si>
    <t>60.0560</t>
  </si>
  <si>
    <t>60.0560 Pediatric Pathology Residency Program.</t>
  </si>
  <si>
    <t>60.0561</t>
  </si>
  <si>
    <t>60.0561 Pediatric Pulmonology Residency Program.</t>
  </si>
  <si>
    <t>60.0562</t>
  </si>
  <si>
    <t>60.0562 Pediatric Radiology Residency Program.</t>
  </si>
  <si>
    <t>60.0563</t>
  </si>
  <si>
    <t>60.0563 Pediatric Rehabilitation Medicine Residency Program.</t>
  </si>
  <si>
    <t>60.0564</t>
  </si>
  <si>
    <t>60.0564 Pediatric Rheumatology Residency Program.</t>
  </si>
  <si>
    <t>60.0565</t>
  </si>
  <si>
    <t>60.0565 Pediatric Surgery Residency Program.</t>
  </si>
  <si>
    <t>60.0566</t>
  </si>
  <si>
    <t>60.0566 Pediatric Transplant Hepatology Residency Program.</t>
  </si>
  <si>
    <t>60.0567</t>
  </si>
  <si>
    <t>60.0567 Pediatric Urology Residency Program.</t>
  </si>
  <si>
    <t>60.0568</t>
  </si>
  <si>
    <t>60.0568 Physical Medicine and Rehabilitation/Psychiatry Residency Program.</t>
  </si>
  <si>
    <t>60.0569</t>
  </si>
  <si>
    <t>60.0569 Plastic Surgery Within the Head and Neck Residency Program.</t>
  </si>
  <si>
    <t>60.0570</t>
  </si>
  <si>
    <t>60.0570 Psychosomatic Medicine Residency Program.</t>
  </si>
  <si>
    <t>60.0571</t>
  </si>
  <si>
    <t>60.0571 Pulmonary Disease Residency Program.</t>
  </si>
  <si>
    <t>60.0572</t>
  </si>
  <si>
    <t>60.0572 Radioisotopic Pathology Residency Program.</t>
  </si>
  <si>
    <t>60.0573</t>
  </si>
  <si>
    <t>60.0573 Reproductive Endocrinology/Infertility Residency Program.</t>
  </si>
  <si>
    <t>60.0574</t>
  </si>
  <si>
    <t>60.0574 Rheumatology Residency Program.</t>
  </si>
  <si>
    <t>60.0575</t>
  </si>
  <si>
    <t>60.0575 Sleep Medicine Residency Program.</t>
  </si>
  <si>
    <t>60.0576</t>
  </si>
  <si>
    <t>60.0576 Spinal Cord Injury Medicine Residency Program.</t>
  </si>
  <si>
    <t>60.0577</t>
  </si>
  <si>
    <t>60.0577 Sports Medicine Residency Program.</t>
  </si>
  <si>
    <t>60.0578</t>
  </si>
  <si>
    <t>60.0578 Surgery of the Hand Residency Program.</t>
  </si>
  <si>
    <t>60.0579</t>
  </si>
  <si>
    <t>60.0579 Surgical Critical Care Residency Program.</t>
  </si>
  <si>
    <t>60.0580</t>
  </si>
  <si>
    <t>60.0580 Therapeutic Radiologic Physics Residency Program.</t>
  </si>
  <si>
    <t>60.0581</t>
  </si>
  <si>
    <t>60.0581 Transplant Hepatology Residency Program.</t>
  </si>
  <si>
    <t>60.0582</t>
  </si>
  <si>
    <t>60.0582 Undersea and Hyperbaric Medicine Residency Program.</t>
  </si>
  <si>
    <t>60.0583</t>
  </si>
  <si>
    <t>60.0583 Vascular and Interventional Radiology Residency Program.</t>
  </si>
  <si>
    <t>60.0584</t>
  </si>
  <si>
    <t>60.0584 Vascular Neurology Residency Program.</t>
  </si>
  <si>
    <t>60.0599</t>
  </si>
  <si>
    <t>60.0599 Medical Residency Programs - Subspecialty Certificates, Other.</t>
  </si>
  <si>
    <t>60.06</t>
  </si>
  <si>
    <t>60.0601</t>
  </si>
  <si>
    <t>60.0601 Podiatric Medicine and Surgery - 24 Residency Program.</t>
  </si>
  <si>
    <t>60.0602</t>
  </si>
  <si>
    <t>60.0602 Podiatric Medicine and Surgery - 36 Residency Program.</t>
  </si>
  <si>
    <t>60.07</t>
  </si>
  <si>
    <t>60.0701</t>
  </si>
  <si>
    <t>60.0701 Nurse Practitioner Residency/Fellowship Program, General.</t>
  </si>
  <si>
    <t>60.0702</t>
  </si>
  <si>
    <t>60.0702 Combined Nurse Practitioner Residency/Fellowship Program.</t>
  </si>
  <si>
    <t>60.0703</t>
  </si>
  <si>
    <t>60.0703 Acute Care Nurse Practitioner Residency/Fellowship Program.</t>
  </si>
  <si>
    <t>60.0704</t>
  </si>
  <si>
    <t>60.0704 Adult/Gerontology Acute Care Nurse Practitioner Residency/Fellowship Program.</t>
  </si>
  <si>
    <t>60.0705</t>
  </si>
  <si>
    <t>60.0705 Adult/Gerontology Critical Care Nurse Practitioner Residency/Fellowship Program.</t>
  </si>
  <si>
    <t>60.0706</t>
  </si>
  <si>
    <t>60.0706 Cardiology/Cardiovascular Nurse Practitioner Residency/Fellowship Program.</t>
  </si>
  <si>
    <t>60.0707</t>
  </si>
  <si>
    <t>60.0707 Clinical Informatics Nurse Practitioner Residency/Fellowship Program.</t>
  </si>
  <si>
    <t>60.0708</t>
  </si>
  <si>
    <t>60.0708 Dermatology Nurse Practitioner Residency/Fellowship Program.</t>
  </si>
  <si>
    <t>60.0709</t>
  </si>
  <si>
    <t>60.0709 Developmental and Behavioral Pediatrics Nurse Practitioner Residency/Fellowship Program.</t>
  </si>
  <si>
    <t>60.0710</t>
  </si>
  <si>
    <t>60.0710 Diabetes Nurse Practitioner Residency/Fellowship Program.</t>
  </si>
  <si>
    <t>60.0711</t>
  </si>
  <si>
    <t>60.0711 Emergency Medicine Nurse Practitioner Residency/Fellowship Program.</t>
  </si>
  <si>
    <t>60.0712</t>
  </si>
  <si>
    <t>60.0712 Endocrinology Nurse Practitioner Residency/Fellowship Program.</t>
  </si>
  <si>
    <t>60.0713</t>
  </si>
  <si>
    <t>60.0713 Family Medicine Nurse Practitioner Residency/Fellowship Program.</t>
  </si>
  <si>
    <t>60.0714</t>
  </si>
  <si>
    <t>60.0714 Gastroenterology and Hepatology Nurse Practitioner Residency/Fellowship Program.</t>
  </si>
  <si>
    <t>60.0715</t>
  </si>
  <si>
    <t>60.0715 Gastroenterology Nurse Practitioner Residency/Fellowship Program.</t>
  </si>
  <si>
    <t>60.0716</t>
  </si>
  <si>
    <t>60.0716 Genetics Nurse Practitioner Residency/Fellowship Program.</t>
  </si>
  <si>
    <t>60.0717</t>
  </si>
  <si>
    <t>60.0717 Gerontology Nurse Practitioner Residency/Fellowship Program.</t>
  </si>
  <si>
    <t>60.0718</t>
  </si>
  <si>
    <t>60.0718 Global Health Nurse Practitioner Residency/Fellowship Program.</t>
  </si>
  <si>
    <t>60.0719</t>
  </si>
  <si>
    <t>60.0719 Hematology-Oncology Nurse Practitioner Residency/Fellowship Program.</t>
  </si>
  <si>
    <t>60.0720</t>
  </si>
  <si>
    <t>60.0720 Hepatology Nurse Practitioner Residency/Fellowship Program.</t>
  </si>
  <si>
    <t>60.0721</t>
  </si>
  <si>
    <t>60.0721 Home-Based Primary Care Nurse Practitioner Residency/Fellowship Program.</t>
  </si>
  <si>
    <t>60.0722</t>
  </si>
  <si>
    <t>60.0722 Hospice and Palliative Medicine Nurse Practitioner Residency/Fellowship Program.</t>
  </si>
  <si>
    <t>60.0723</t>
  </si>
  <si>
    <t>60.0723 Hospital Medicine Nurse Practitioner Residency/Fellowship Program.</t>
  </si>
  <si>
    <t>60.0724</t>
  </si>
  <si>
    <t>60.0724 Infectious Diseases Nurse Practitioner Residency/Fellowship Program.</t>
  </si>
  <si>
    <t>60.0725</t>
  </si>
  <si>
    <t>60.0725 Neonatal Nurse Practitioner Residency/Fellowship Program.</t>
  </si>
  <si>
    <t>60.0726</t>
  </si>
  <si>
    <t>60.0726 Nephrology Nurse Practitioner Residency/Fellowship Program.</t>
  </si>
  <si>
    <t>60.0727</t>
  </si>
  <si>
    <t>60.0727 Neurology Nurse Practitioner Residency/Fellowship Program.</t>
  </si>
  <si>
    <t>60.0728</t>
  </si>
  <si>
    <t>60.0728 Neuroscience Nurse Practitioner Residency/Fellowship Program.</t>
  </si>
  <si>
    <t>60.0729</t>
  </si>
  <si>
    <t>60.0729 Obstetrics and Gynecology Nurse Practitioner Residency/Fellowship Program.</t>
  </si>
  <si>
    <t>60.0730</t>
  </si>
  <si>
    <t>60.0730 Occupational Health Nurse Practitioner Residency/Fellowship Program.</t>
  </si>
  <si>
    <t>60.0731</t>
  </si>
  <si>
    <t>60.0731 Orthopedic Nurse Practitioner Residency/Fellowship Program.</t>
  </si>
  <si>
    <t>60.0732</t>
  </si>
  <si>
    <t>60.0732 Orthopedic Surgery Nurse Practitioner Residency/Fellowship Program.</t>
  </si>
  <si>
    <t>60.0733</t>
  </si>
  <si>
    <t>60.0733 Pain Management Nurse Practitioner Residency/Fellowship Program.</t>
  </si>
  <si>
    <t>60.0734</t>
  </si>
  <si>
    <t>60.0734 Palliative Care Nurse Practitioner Residency/Fellowship Program.</t>
  </si>
  <si>
    <t>60.0735</t>
  </si>
  <si>
    <t>60.0735 Pediatric Hematology-Oncology Nurse Practitioner Residency/Fellowship Program.</t>
  </si>
  <si>
    <t>60.0736</t>
  </si>
  <si>
    <t>60.0736 Pediatric Nurse Practitioner Residency/Fellowship Program.</t>
  </si>
  <si>
    <t>60.0737</t>
  </si>
  <si>
    <t>60.0737 Pediatric Rehabilitation Nurse Practitioner Residency/Fellowship Program.</t>
  </si>
  <si>
    <t>60.0738</t>
  </si>
  <si>
    <t>60.0738 Psychiatric/Mental Health Nurse Practitioner Residency/Fellowship Program.</t>
  </si>
  <si>
    <t>60.0739</t>
  </si>
  <si>
    <t>60.0739 Public/Community Health Nurse Practitioner Residency/Fellowship Program.</t>
  </si>
  <si>
    <t>60.0740</t>
  </si>
  <si>
    <t>60.0740 Pulmonary Nurse Practitioner Residency/Fellowship Program.</t>
  </si>
  <si>
    <t>60.0741</t>
  </si>
  <si>
    <t>60.0741 Rheumatology Nurse Practitioner Residency/Fellowship Program.</t>
  </si>
  <si>
    <t>60.0742</t>
  </si>
  <si>
    <t>60.0742 Rural Health Nurse Practitioner Residency/Fellowship Program.</t>
  </si>
  <si>
    <t>60.0743</t>
  </si>
  <si>
    <t>60.0743 Sleep Medicine Nurse Practitioner Residency/Fellowship Program.</t>
  </si>
  <si>
    <t>60.0744</t>
  </si>
  <si>
    <t>60.0744 Surgical and Critical Care Nurse Practitioner Residency/Fellowship Program.</t>
  </si>
  <si>
    <t>60.0745</t>
  </si>
  <si>
    <t>60.0745 Surgical Wound and Reconstruction Nurse Practitioner Residency/Fellowship Program.</t>
  </si>
  <si>
    <t>60.0746</t>
  </si>
  <si>
    <t>60.0746 Transplantation Nurse Practitioner Residency/Fellowship Program.</t>
  </si>
  <si>
    <t>60.0747</t>
  </si>
  <si>
    <t>60.0747 Trauma and Critical Care Nurse Practitioner Residency/Fellowship Program.</t>
  </si>
  <si>
    <t>60.0748</t>
  </si>
  <si>
    <t>60.0748 Urgent Care Nurse Practitioner Residency/Fellowship Program.</t>
  </si>
  <si>
    <t>60.0749</t>
  </si>
  <si>
    <t>60.0749 Urology Nurse Practitioner Residency/Fellowship Program.</t>
  </si>
  <si>
    <t>60.0750</t>
  </si>
  <si>
    <t>60.0750 Women's Health Nurse Practitioner Residency/Fellowship Program.</t>
  </si>
  <si>
    <t>60.0751</t>
  </si>
  <si>
    <t>60.0751 Wound Care Nurse Practitioner Residency/Fellowship Program.</t>
  </si>
  <si>
    <t>60.0799</t>
  </si>
  <si>
    <t>60.0799 Nurse Practitioner Residency/Fellowship Program, Other.</t>
  </si>
  <si>
    <t>60.08</t>
  </si>
  <si>
    <t>60.0801</t>
  </si>
  <si>
    <t>60.0801 Pharmacy Residency/Fellowship Program, General.</t>
  </si>
  <si>
    <t>60.0802</t>
  </si>
  <si>
    <t>60.0802 Combined Pharmacy Residency/Fellowship Program.</t>
  </si>
  <si>
    <t>60.0803</t>
  </si>
  <si>
    <t>60.0803 Ambulatory Care Pharmacy Residency/Fellowship Program.</t>
  </si>
  <si>
    <t>60.0804</t>
  </si>
  <si>
    <t>60.0804 Cardiology Pharmacy Residency/Fellowship Program.</t>
  </si>
  <si>
    <t>60.0805</t>
  </si>
  <si>
    <t>60.0805 Clinical Pharmacogenomics Pharmacy Residency/Fellowship Program.</t>
  </si>
  <si>
    <t>60.0806</t>
  </si>
  <si>
    <t>60.0806 Community/Community-Based Pharmacy Residency/Fellowship Program.</t>
  </si>
  <si>
    <t>60.0807</t>
  </si>
  <si>
    <t>60.0807 Corporate Pharmacy Leadership Residency/Fellowship Program.</t>
  </si>
  <si>
    <t>60.0808</t>
  </si>
  <si>
    <t>60.0808 Critical Care Pharmacy Residency/Fellowship Program.</t>
  </si>
  <si>
    <t>60.0809</t>
  </si>
  <si>
    <t>60.0809 Drug Information Pharmacy Residency/Fellowship Program</t>
  </si>
  <si>
    <t>60.0810</t>
  </si>
  <si>
    <t>60.0810 Emergency Medicine Pharmacy Residency/Fellowship Program.</t>
  </si>
  <si>
    <t>60.0811</t>
  </si>
  <si>
    <t>60.0811 Family Medicine Pharmacy Residency/Fellowship Program.</t>
  </si>
  <si>
    <t>60.0812</t>
  </si>
  <si>
    <t>60.0812 Geriatric Pharmacy Residency/Fellowship Program.</t>
  </si>
  <si>
    <t>60.0813</t>
  </si>
  <si>
    <t>60.0813 Health System Medication Management Pharmacy Residency/Fellowship Program.</t>
  </si>
  <si>
    <t>60.0814</t>
  </si>
  <si>
    <t>60.0814 Health System Pharmacy Administration and Leadership Residency/Fellowship Program.</t>
  </si>
  <si>
    <t>60.0815</t>
  </si>
  <si>
    <t>60.0815 Infectious Diseases Pharmacy Residency/Fellowship Program.</t>
  </si>
  <si>
    <t>60.0816</t>
  </si>
  <si>
    <t>60.0816 Internal Medicine Pharmacy Residency/Fellowship Program.</t>
  </si>
  <si>
    <t>60.0817</t>
  </si>
  <si>
    <t>60.0817 Investigational Drugs and Research Pharmacy Residency/Fellowship Program.</t>
  </si>
  <si>
    <t>60.0818</t>
  </si>
  <si>
    <t>60.0818 Managed Care Pharmacy Residency/Fellowship Program.</t>
  </si>
  <si>
    <t>60.0819</t>
  </si>
  <si>
    <t>60.0819 Medication Systems and Operations Pharmacy Residency/Fellowship Program.</t>
  </si>
  <si>
    <t>60.0820</t>
  </si>
  <si>
    <t>60.0820 Medication-Use Safety Pharmacy Residency/Fellowship Program.</t>
  </si>
  <si>
    <t>60.0821</t>
  </si>
  <si>
    <t>60.0821 Neonatal Pharmacy Residency/Fellowship Program.</t>
  </si>
  <si>
    <t>60.0822</t>
  </si>
  <si>
    <t>60.0822 Nephrology Pharmacy Residency/Fellowship Program.</t>
  </si>
  <si>
    <t>60.0823</t>
  </si>
  <si>
    <t>60.0823 Neurology Pharmacy Residency/Fellowship Program.</t>
  </si>
  <si>
    <t>60.0824</t>
  </si>
  <si>
    <t>60.0824 Nuclear Pharmacy Residency/Fellowship Program.</t>
  </si>
  <si>
    <t>60.0825</t>
  </si>
  <si>
    <t>60.0825 Nutrition Support Pharmacy Residency/Fellowship Program.</t>
  </si>
  <si>
    <t>60.0826</t>
  </si>
  <si>
    <t>60.0826 Oncology Pharmacy Residency/Fellowship Program.</t>
  </si>
  <si>
    <t>60.0827</t>
  </si>
  <si>
    <t>60.0827 Palliative Care/Pain Management Pharmacy Residency/Fellowship Program.</t>
  </si>
  <si>
    <t>60.0828</t>
  </si>
  <si>
    <t>60.0828 Pediatric Pharmacy Residency/Fellowship Program.</t>
  </si>
  <si>
    <t>60.0829</t>
  </si>
  <si>
    <t>60.0829 Pharmacotherapy Pharmacy Residency/Fellowship Program.</t>
  </si>
  <si>
    <t>60.0830</t>
  </si>
  <si>
    <t>60.0830 Pharmacy Informatics Pharmacy Residency/Fellowship Program.</t>
  </si>
  <si>
    <t>60.0831</t>
  </si>
  <si>
    <t>60.0831 Psychiatric Pharmacy Residency/Fellowship Program.</t>
  </si>
  <si>
    <t>60.0832</t>
  </si>
  <si>
    <t>60.0832 Transplantation Pharmacy Residency/Fellowship Program.</t>
  </si>
  <si>
    <t>60.0899</t>
  </si>
  <si>
    <t>60.0899 Pharmacy Residency Programs, Other.</t>
  </si>
  <si>
    <t>60.09</t>
  </si>
  <si>
    <t>60.0901</t>
  </si>
  <si>
    <t>60.0901 Physician Assistant Residency/Fellowship Program, General.</t>
  </si>
  <si>
    <t>60.0902</t>
  </si>
  <si>
    <t>60.0902 Combined Physician Assistant Residency/Fellowship Program.</t>
  </si>
  <si>
    <t>60.0903</t>
  </si>
  <si>
    <t>60.0903 Acute Care Medicine Physician Assistant Residency/Fellowship Program.</t>
  </si>
  <si>
    <t>60.0904</t>
  </si>
  <si>
    <t>60.0904 Acute Care Surgery Physician Assistant Residency/Fellowship Program.</t>
  </si>
  <si>
    <t>60.0905</t>
  </si>
  <si>
    <t>60.0905 Cardiology Physician Assistant Residency/Fellowship Program.</t>
  </si>
  <si>
    <t>60.0906</t>
  </si>
  <si>
    <t>60.0906 Cardiothoracic Surgery Physician Assistant Residency/Fellowship Program.</t>
  </si>
  <si>
    <t>60.0907</t>
  </si>
  <si>
    <t>60.0907 Critical Care Physician Assistant Residency/Fellowship Program.</t>
  </si>
  <si>
    <t>60.0908</t>
  </si>
  <si>
    <t>60.0908 Critical Care and Trauma Surgery Physician Assistant Residency/Fellowship Program.</t>
  </si>
  <si>
    <t>60.0909</t>
  </si>
  <si>
    <t>60.0909 Emergency Medicine Physician Assistant Residency/Fellowship Program.</t>
  </si>
  <si>
    <t>60.0910</t>
  </si>
  <si>
    <t>60.0910 ENT Surgery Physician Assistant Residency/Fellowship Program.</t>
  </si>
  <si>
    <t>60.0911</t>
  </si>
  <si>
    <t>60.0911 Family Medicine Physician Assistant Residency/Fellowship Program.</t>
  </si>
  <si>
    <t>60.0912</t>
  </si>
  <si>
    <t>60.0912 Geriatrics Physician Assistant Residency/Fellowship Program.</t>
  </si>
  <si>
    <t>60.0913</t>
  </si>
  <si>
    <t>60.0913 Hematology-Oncology Physician Assistant Residency/Fellowship Program.</t>
  </si>
  <si>
    <t>60.0914</t>
  </si>
  <si>
    <t>60.0914 Hepatobiliary Surgery Physician Assistant Residency/Fellowship Program.</t>
  </si>
  <si>
    <t>60.0915</t>
  </si>
  <si>
    <t>60.0915 Hospitalist Physician Assistant Residency/Fellowship Program.</t>
  </si>
  <si>
    <t>60.0916</t>
  </si>
  <si>
    <t>60.0916 Neurosurgery Physician Assistant Residency/Fellowship Program.</t>
  </si>
  <si>
    <t>60.0917</t>
  </si>
  <si>
    <t>60.0917 Orthopedic Surgery Physician Assistant Residency/Fellowship Program.</t>
  </si>
  <si>
    <t>60.0918</t>
  </si>
  <si>
    <t>60.0918 Pediatric Surgery Physician Assistant Residency/Fellowship Program.</t>
  </si>
  <si>
    <t>60.0919</t>
  </si>
  <si>
    <t>60.0919 Transplant Surgery Physician Assistant Residency/Fellowship Program.</t>
  </si>
  <si>
    <t>60.0920</t>
  </si>
  <si>
    <t>60.0920 Urology Physician Assistant Residency/Fellowship Program.</t>
  </si>
  <si>
    <t>60.0999</t>
  </si>
  <si>
    <t>60.0999 Physician Assistant Residency/Fellowship Program, Other.</t>
  </si>
  <si>
    <t>60.99</t>
  </si>
  <si>
    <t>60.9999</t>
  </si>
  <si>
    <t>60.9999 Health Professions Residency/Fellowship Programs, Other.</t>
  </si>
  <si>
    <t>61</t>
  </si>
  <si>
    <t>61.01</t>
  </si>
  <si>
    <t>61.0101</t>
  </si>
  <si>
    <t>61.0101 Combined Medical Residency/Fellowship Program, General.</t>
  </si>
  <si>
    <t>61.0102</t>
  </si>
  <si>
    <t>61.0102 Diagnostic Radiology/Nuclear Medicine Combined Specialty Program.</t>
  </si>
  <si>
    <t>61.0103</t>
  </si>
  <si>
    <t>61.0103 Emergency Medicine/Anesthesiology Combined Specialty Program.</t>
  </si>
  <si>
    <t>61.0104</t>
  </si>
  <si>
    <t>61.0104 Family Medicine/Emergency Medicine Combined Specialty Program.</t>
  </si>
  <si>
    <t>61.0105</t>
  </si>
  <si>
    <t>61.0105 Family Medicine/Osteopathic Neuromusculoskeletal Medicine Combined Specialty Program.</t>
  </si>
  <si>
    <t>61.0106</t>
  </si>
  <si>
    <t>61.0106 Family Medicine/Preventive Medicine Combined Specialty Program.</t>
  </si>
  <si>
    <t>61.0107</t>
  </si>
  <si>
    <t>61.0107 Family Medicine/Psychiatry Combined Specialty Program.</t>
  </si>
  <si>
    <t>61.0108</t>
  </si>
  <si>
    <t>61.0108 Internal Medicine/Anesthesiology Combined Specialty Program.</t>
  </si>
  <si>
    <t>61.0109</t>
  </si>
  <si>
    <t>61.0109 Internal Medicine/Dermatology Combined Specialty Program.</t>
  </si>
  <si>
    <t>61.0110</t>
  </si>
  <si>
    <t>61.0110 Internal Medicine/Emergency Medicine Combined Specialty Program.</t>
  </si>
  <si>
    <t>61.0111</t>
  </si>
  <si>
    <t>61.0111 Internal Medicine/Emergency Medicine/Critical Care Medicine Combined Specialty Program.</t>
  </si>
  <si>
    <t>61.0112</t>
  </si>
  <si>
    <t>61.0112 Internal Medicine/Family Medicine Combined Specialty Program.</t>
  </si>
  <si>
    <t>61.0113</t>
  </si>
  <si>
    <t>61.0113 Internal Medicine/Medical Genetics and Genomics Combined Specialty Program.</t>
  </si>
  <si>
    <t>61.0114</t>
  </si>
  <si>
    <t>61.0114 Internal Medicine/Neurology Combined Specialty Program.</t>
  </si>
  <si>
    <t>61.0115</t>
  </si>
  <si>
    <t>61.0115 Internal Medicine/Pediatrics Combined Specialty Program.</t>
  </si>
  <si>
    <t>61.0116</t>
  </si>
  <si>
    <t>61.0116 Internal Medicine/Preventive Medicine Combined Specialty Program.</t>
  </si>
  <si>
    <t>61.0117</t>
  </si>
  <si>
    <t>61.0117 Internal Medicine/Psychiatry Combined Specialty Program.</t>
  </si>
  <si>
    <t>61.0118</t>
  </si>
  <si>
    <t>61.0118 Medical Genetics and Genomics/Maternal-Fetal Medicine Combined Specialty Program.</t>
  </si>
  <si>
    <t>61.0119</t>
  </si>
  <si>
    <t>61.0119 Pediatrics/Anesthesiology Combined Specialty Program.</t>
  </si>
  <si>
    <t>61.0120</t>
  </si>
  <si>
    <t>61.0120 Pediatrics/Emergency Medicine Combined Specialty Program.</t>
  </si>
  <si>
    <t>61.0121</t>
  </si>
  <si>
    <t>61.0121 Pediatrics/Medical Genetics and Genomics Combined Specialty Program.</t>
  </si>
  <si>
    <t>61.0122</t>
  </si>
  <si>
    <t>61.0122 Pediatrics/Physical Medicine &amp; Rehabilitation Combined Specialty Program.</t>
  </si>
  <si>
    <t>61.0123</t>
  </si>
  <si>
    <t>61.0123 Pediatrics/Psychology/Child-Adolescent Psychology Combined Specialty Program.</t>
  </si>
  <si>
    <t>61.0124</t>
  </si>
  <si>
    <t>61.0124 Psychiatry/Neurology Combined Specialty Program.</t>
  </si>
  <si>
    <t>61.0125</t>
  </si>
  <si>
    <t>61.0125 Reproductive Endocrinology and Infertility/Medical Genetics and Genomics Combined Specialty Program.</t>
  </si>
  <si>
    <t>61.0199</t>
  </si>
  <si>
    <t>61.0199 Combined Medical Residency/Fellowship Programs, Other.</t>
  </si>
  <si>
    <t>61.02</t>
  </si>
  <si>
    <t>61.0202</t>
  </si>
  <si>
    <t>61.0202 Critical Care Medicine Fellowship Program.</t>
  </si>
  <si>
    <t>61.0203</t>
  </si>
  <si>
    <t>61.0203 Geriatric Medicine Fellowship Program.</t>
  </si>
  <si>
    <t>61.0204</t>
  </si>
  <si>
    <t>61.0204 Health Policy Fellowship Program.</t>
  </si>
  <si>
    <t>61.0205</t>
  </si>
  <si>
    <t>61.0205 Hospice and Palliative Medicine Fellowship Program.</t>
  </si>
  <si>
    <t>61.0206</t>
  </si>
  <si>
    <t>61.0206 Integrative Medicine Fellowship Program.</t>
  </si>
  <si>
    <t>61.0207</t>
  </si>
  <si>
    <t>61.0207 Medical Education Fellowship Program.</t>
  </si>
  <si>
    <t>61.0208</t>
  </si>
  <si>
    <t>61.0208 Medical Toxicology Fellowship Program.</t>
  </si>
  <si>
    <t>61.0209</t>
  </si>
  <si>
    <t>61.0209 Neuromuscular Medicine Fellowship Program.</t>
  </si>
  <si>
    <t>61.0210</t>
  </si>
  <si>
    <t>61.0210 Pain Medicine Fellowship Program.</t>
  </si>
  <si>
    <t>61.0211</t>
  </si>
  <si>
    <t>61.0211 Simulation Fellowship Program.</t>
  </si>
  <si>
    <t>61.0212</t>
  </si>
  <si>
    <t>61.0212 Sleep Medicine Fellowship Program.</t>
  </si>
  <si>
    <t>61.0213</t>
  </si>
  <si>
    <t>61.0213 Sports Medicine Fellowship Program.</t>
  </si>
  <si>
    <t>61.0214</t>
  </si>
  <si>
    <t>61.0214 Surgery of the Hand Fellowship Program.</t>
  </si>
  <si>
    <t>61.0215</t>
  </si>
  <si>
    <t>61.0215 Telemedicine Fellowship Program.</t>
  </si>
  <si>
    <t>61.0216</t>
  </si>
  <si>
    <t>61.0216 Undersea and Hyperbaric Medicine Fellowship Program.</t>
  </si>
  <si>
    <t>61.0217</t>
  </si>
  <si>
    <t>61.0217 Wilderness Medicine Fellowship Program.</t>
  </si>
  <si>
    <t>61.0218</t>
  </si>
  <si>
    <t>61.0218 Women's Health Fellowship Program.</t>
  </si>
  <si>
    <t>61.0299</t>
  </si>
  <si>
    <t>61.0299 Multiple-Pathway Medical Fellowship Programs, Other.</t>
  </si>
  <si>
    <t>61.03</t>
  </si>
  <si>
    <t>61.0301</t>
  </si>
  <si>
    <t>61.0301 Allergy and Immunology Fellowship Program.</t>
  </si>
  <si>
    <t>61.0399</t>
  </si>
  <si>
    <t>61.0399 Allergy and Immunology Residency/Fellowship Programs, Other.</t>
  </si>
  <si>
    <t>61.04</t>
  </si>
  <si>
    <t>61.0401</t>
  </si>
  <si>
    <t>61.0401 Anesthesiology Residency Program.</t>
  </si>
  <si>
    <t>61.0499</t>
  </si>
  <si>
    <t>61.0499 Anesthesiology Residency/Fellowship Programs, Other.</t>
  </si>
  <si>
    <t>61.05</t>
  </si>
  <si>
    <t>61.0501</t>
  </si>
  <si>
    <t>61.0501 Dermatology Residency Program.</t>
  </si>
  <si>
    <t>61.0502</t>
  </si>
  <si>
    <t>61.0502 Dermatopathology Fellowship Program.</t>
  </si>
  <si>
    <t>61.0503</t>
  </si>
  <si>
    <t>61.0503 Pediatric Dermatology Fellowship Program.</t>
  </si>
  <si>
    <t>61.0599</t>
  </si>
  <si>
    <t>61.0599 Dermatology Residency/Fellowship Programs, Other.</t>
  </si>
  <si>
    <t>61.06</t>
  </si>
  <si>
    <t>61.0601</t>
  </si>
  <si>
    <t>61.0601 Emergency Medicine Residency Program.</t>
  </si>
  <si>
    <t>61.0602</t>
  </si>
  <si>
    <t>61.0602 Disaster Medicine Fellowship Program.</t>
  </si>
  <si>
    <t>61.0603</t>
  </si>
  <si>
    <t>61.0603 Emergency Medical Services Fellowship Program.</t>
  </si>
  <si>
    <t>61.0699</t>
  </si>
  <si>
    <t>61.0699 Emergency Medicine Residency/Fellowship Programs, Other.</t>
  </si>
  <si>
    <t>61.07</t>
  </si>
  <si>
    <t>61.0701</t>
  </si>
  <si>
    <t>61.0701 Family Medicine Residency Program.</t>
  </si>
  <si>
    <t>61.0799</t>
  </si>
  <si>
    <t>61.0799 Family Medicine Residency/Fellowship Programs, Other.</t>
  </si>
  <si>
    <t>61.08</t>
  </si>
  <si>
    <t>61.0801</t>
  </si>
  <si>
    <t>61.0801 Internal Medicine Residency Program.</t>
  </si>
  <si>
    <t>61.0804</t>
  </si>
  <si>
    <t>61.0804 Cardiovascular Disease Fellowship Program.</t>
  </si>
  <si>
    <t>61.0805</t>
  </si>
  <si>
    <t>61.0805 Clinical Cardiac Electrophysiology Fellowship Program.</t>
  </si>
  <si>
    <t>61.0806</t>
  </si>
  <si>
    <t>61.0806 Endocrinology, Diabetes, and Metabolism Fellowship Program.</t>
  </si>
  <si>
    <t>61.0807</t>
  </si>
  <si>
    <t>61.0807 Gastroenterology Fellowship Program.</t>
  </si>
  <si>
    <t>61.0808</t>
  </si>
  <si>
    <t>61.0808 Hematology Fellowship Program.</t>
  </si>
  <si>
    <t>61.0809</t>
  </si>
  <si>
    <t>61.0809 Hematology-Oncology Fellowship Program.</t>
  </si>
  <si>
    <t>61.0810</t>
  </si>
  <si>
    <t>61.0810 Infectious Disease Fellowship Program.</t>
  </si>
  <si>
    <t>61.0811</t>
  </si>
  <si>
    <t>61.0811 Interventional Cardiology Fellowship Program.</t>
  </si>
  <si>
    <t>61.0812</t>
  </si>
  <si>
    <t>61.0812 Nephrology Fellowship Program.</t>
  </si>
  <si>
    <t>61.0813</t>
  </si>
  <si>
    <t>61.0813 Medical Oncology Fellowship Program.</t>
  </si>
  <si>
    <t>61.0814</t>
  </si>
  <si>
    <t>61.0814 Pulmonary Disease Fellowship Program.</t>
  </si>
  <si>
    <t>61.0816</t>
  </si>
  <si>
    <t>61.0816 Rheumatology Fellowship Program.</t>
  </si>
  <si>
    <t>61.0818</t>
  </si>
  <si>
    <t>61.0818 Transplant Hepatology Fellowship Program.</t>
  </si>
  <si>
    <t>61.0899</t>
  </si>
  <si>
    <t>61.0899 Internal Medicine Residency/Fellowship Programs, Other.</t>
  </si>
  <si>
    <t>61.09</t>
  </si>
  <si>
    <t>61.0901</t>
  </si>
  <si>
    <t>61.0901 Clinical Biochemical Genetics Residency Program.</t>
  </si>
  <si>
    <t>61.0902</t>
  </si>
  <si>
    <t>61.0902 Clinical Genetics and Genomics Residency Program.</t>
  </si>
  <si>
    <t>61.0903</t>
  </si>
  <si>
    <t>61.0903 Laboratory Genetics and Genomics Residency Program.</t>
  </si>
  <si>
    <t>61.0904</t>
  </si>
  <si>
    <t>61.0904 Medical Biochemical Genetics Residency Program.</t>
  </si>
  <si>
    <t>61.0999</t>
  </si>
  <si>
    <t>61.0999 Medical Genetics and Genomics Residency/Fellowship Programs, Other.</t>
  </si>
  <si>
    <t>61.10</t>
  </si>
  <si>
    <t>61.1001</t>
  </si>
  <si>
    <t>61.1001 Neurological Surgery Residency Program.</t>
  </si>
  <si>
    <t>61.1099</t>
  </si>
  <si>
    <t>61.1099 Neurological Surgery Residency/Fellowship Programs, Other.</t>
  </si>
  <si>
    <t>61.11</t>
  </si>
  <si>
    <t>61.1101</t>
  </si>
  <si>
    <t>61.1101 Neurology Residency Program.</t>
  </si>
  <si>
    <t>61.1102</t>
  </si>
  <si>
    <t>61.1102 Child Neurology Residency Program.</t>
  </si>
  <si>
    <t>61.1103</t>
  </si>
  <si>
    <t>61.1103 Clinical Neurophysiology Fellowship Program.</t>
  </si>
  <si>
    <t>61.1104</t>
  </si>
  <si>
    <t>61.1104 Epilepsy Fellowship Program.</t>
  </si>
  <si>
    <t>61.1105</t>
  </si>
  <si>
    <t>61.1105 Headache Medicine Fellowship Program.</t>
  </si>
  <si>
    <t>61.1106</t>
  </si>
  <si>
    <t>61.1106 Neurodevelopmental Disabilities Fellowship Program.</t>
  </si>
  <si>
    <t>61.1107</t>
  </si>
  <si>
    <t>61.1107 Vascular Neurology Fellowship Program.</t>
  </si>
  <si>
    <t>61.1199</t>
  </si>
  <si>
    <t>61.1199 Neurology Residency/Fellowship Programs, Other.</t>
  </si>
  <si>
    <t>61.12</t>
  </si>
  <si>
    <t>61.1201</t>
  </si>
  <si>
    <t>61.1201 Nuclear Medicine Residency Program.</t>
  </si>
  <si>
    <t>61.1299</t>
  </si>
  <si>
    <t>61.1299 Nuclear Medicine Residency/Fellowship Programs, Other.</t>
  </si>
  <si>
    <t>61.13</t>
  </si>
  <si>
    <t>61.1301</t>
  </si>
  <si>
    <t>61.1301 Obstetrics and Gynecology Residency Program.</t>
  </si>
  <si>
    <t>61.1302</t>
  </si>
  <si>
    <t>61.1302 Gynecologic Oncology Fellowship Program.</t>
  </si>
  <si>
    <t>61.1303</t>
  </si>
  <si>
    <t>61.1303 Maternal and Fetal Medicine Fellowship Program.</t>
  </si>
  <si>
    <t>61.1304</t>
  </si>
  <si>
    <t>61.1304 Reproductive Endocrinology/Infertility Fellowship Program.</t>
  </si>
  <si>
    <t>61.1399</t>
  </si>
  <si>
    <t>61.1399 Obstetrics and Gynecology Residency/Fellowship Programs, Other.</t>
  </si>
  <si>
    <t>61.14</t>
  </si>
  <si>
    <t>61.1401</t>
  </si>
  <si>
    <t>61.1401 Ophthalmology Residency Program.</t>
  </si>
  <si>
    <t>61.1499</t>
  </si>
  <si>
    <t>61.1499 Ophthalmology Residency/Fellowship Programs, Other.</t>
  </si>
  <si>
    <t>61.15</t>
  </si>
  <si>
    <t>61.1501</t>
  </si>
  <si>
    <t>61.1501 Orthopedic Surgery Residency Program.</t>
  </si>
  <si>
    <t>61.1502</t>
  </si>
  <si>
    <t>61.1502 Musculoskeletal Oncology Fellowship Program.</t>
  </si>
  <si>
    <t>61.1503</t>
  </si>
  <si>
    <t>61.1503 Orthopedic Sports Medicine Fellowship Program.</t>
  </si>
  <si>
    <t>61.1504</t>
  </si>
  <si>
    <t>61.1504 Orthopedic Surgery of the Spine Fellowship Program.</t>
  </si>
  <si>
    <t>61.1505</t>
  </si>
  <si>
    <t>61.1505 Pediatric Orthopedics Fellowship Program.</t>
  </si>
  <si>
    <t>61.1599</t>
  </si>
  <si>
    <t>61.1599 Orthopedic Surgery Residency/Fellowship Programs, Other.</t>
  </si>
  <si>
    <t>61.16</t>
  </si>
  <si>
    <t>61.1601</t>
  </si>
  <si>
    <t>61.1601 Osteopathic Neuromusculoskeletal Medicine Residency Program.</t>
  </si>
  <si>
    <t>61.1699</t>
  </si>
  <si>
    <t>61.1699 Osteopathic Medicine Residency/Fellowship Programs, Other.</t>
  </si>
  <si>
    <t>61.17</t>
  </si>
  <si>
    <t>61.1701</t>
  </si>
  <si>
    <t>61.1701 Otolaryngology Residency Program.</t>
  </si>
  <si>
    <t>61.1702</t>
  </si>
  <si>
    <t>61.1702 Neurotology Fellowship Program.</t>
  </si>
  <si>
    <t>61.1703</t>
  </si>
  <si>
    <t>61.1703 Pediatric Otolaryngology Fellowship Program.</t>
  </si>
  <si>
    <t>61.1799</t>
  </si>
  <si>
    <t>61.1799 Otolaryngology Residency/Fellowship Programs, Other.</t>
  </si>
  <si>
    <t>61.18</t>
  </si>
  <si>
    <t>61.1801</t>
  </si>
  <si>
    <t>61.1801 Combined Anatomic and Clinical Pathology Residency Program.</t>
  </si>
  <si>
    <t>61.1802</t>
  </si>
  <si>
    <t>61.1802 Anatomic Pathology Residency Program.</t>
  </si>
  <si>
    <t>61.1803</t>
  </si>
  <si>
    <t>61.1803 Clinical Pathology Residency Program.</t>
  </si>
  <si>
    <t>61.1804</t>
  </si>
  <si>
    <t>61.1804 Blood Banking/Transfusion Medicine Fellowship Program.</t>
  </si>
  <si>
    <t>61.1805</t>
  </si>
  <si>
    <t>61.1805 Chemical Pathology Fellowship Program.</t>
  </si>
  <si>
    <t>61.1806</t>
  </si>
  <si>
    <t>61.1806 Cytopathology Fellowship Program.</t>
  </si>
  <si>
    <t>61.1807</t>
  </si>
  <si>
    <t>61.1807 Forensic Pathology Fellowship Program.</t>
  </si>
  <si>
    <t>61.1808</t>
  </si>
  <si>
    <t>61.1808 Hematological Pathology Fellowship Program.</t>
  </si>
  <si>
    <t>61.1809</t>
  </si>
  <si>
    <t>61.1809 Immunopathology Fellowship Program.</t>
  </si>
  <si>
    <t>61.1810</t>
  </si>
  <si>
    <t>61.1810 Laboratory Medicine Fellowship Program.</t>
  </si>
  <si>
    <t>61.1811</t>
  </si>
  <si>
    <t>61.1811 Medical Microbiology Fellowship Program.</t>
  </si>
  <si>
    <t>61.1812</t>
  </si>
  <si>
    <t>61.1812 Molecular Genetic Pathology Fellowship Program.</t>
  </si>
  <si>
    <t>61.1813</t>
  </si>
  <si>
    <t>61.1813 Neuropathology Fellowship Program.</t>
  </si>
  <si>
    <t>61.1814</t>
  </si>
  <si>
    <t>61.1814 Pediatric Pathology Fellowship Program.</t>
  </si>
  <si>
    <t>61.1815</t>
  </si>
  <si>
    <t>61.1815 Radioisotopic Pathology Fellowship Program.</t>
  </si>
  <si>
    <t>61.1899</t>
  </si>
  <si>
    <t>61.1899 Pathology Residency/Fellowship Programs, Other.</t>
  </si>
  <si>
    <t>61.19</t>
  </si>
  <si>
    <t>61.1901</t>
  </si>
  <si>
    <t>61.1901 Pediatrics Residency Program.</t>
  </si>
  <si>
    <t>61.1902</t>
  </si>
  <si>
    <t>61.1902 Adolescent Medicine Fellowship Program.</t>
  </si>
  <si>
    <t>61.1903</t>
  </si>
  <si>
    <t>61.1903 Child Abuse Pediatrics Fellowship Program.</t>
  </si>
  <si>
    <t>61.1904</t>
  </si>
  <si>
    <t>61.1904 Developmental-Behavioral Pediatrics Fellowship Program.</t>
  </si>
  <si>
    <t>61.1905</t>
  </si>
  <si>
    <t>61.1905 Neonatal-Perinatal Medicine Fellowship Program.</t>
  </si>
  <si>
    <t>61.1906</t>
  </si>
  <si>
    <t>61.1906 Pediatric Cardiology Fellowship Program.</t>
  </si>
  <si>
    <t>61.1907</t>
  </si>
  <si>
    <t>61.1907 Pediatric Critical Care Medicine Fellowship Program.</t>
  </si>
  <si>
    <t>61.1908</t>
  </si>
  <si>
    <t>61.1908 Pediatric Emergency Medicine Fellowship Program.</t>
  </si>
  <si>
    <t>61.1909</t>
  </si>
  <si>
    <t>61.1909 Pediatric Endocrinology Fellowship Program.</t>
  </si>
  <si>
    <t>61.1910</t>
  </si>
  <si>
    <t>61.1910 Pediatric Gastroenterology Fellowship Program.</t>
  </si>
  <si>
    <t>61.1911</t>
  </si>
  <si>
    <t>61.1911 Pediatric Hematology-Oncology Fellowship Program.</t>
  </si>
  <si>
    <t>61.1912</t>
  </si>
  <si>
    <t>61.1912 Pediatric Infectious Diseases Fellowship Program.</t>
  </si>
  <si>
    <t>61.1913</t>
  </si>
  <si>
    <t>61.1913 Pediatric Nephrology Fellowship Program.</t>
  </si>
  <si>
    <t>61.1914</t>
  </si>
  <si>
    <t>61.1914 Pediatric Pulmonology Fellowship Program.</t>
  </si>
  <si>
    <t>61.1915</t>
  </si>
  <si>
    <t>61.1915 Pediatric Rheumatology Fellowship Program.</t>
  </si>
  <si>
    <t>61.1917</t>
  </si>
  <si>
    <t>61.1917 Pediatric Transplant Hepatology Fellowship Program.</t>
  </si>
  <si>
    <t>61.1999</t>
  </si>
  <si>
    <t>61.1999 Pediatrics Residency/Fellowship Programs, Other.</t>
  </si>
  <si>
    <t>61.20</t>
  </si>
  <si>
    <t>61.2001</t>
  </si>
  <si>
    <t>61.2001 Physical Medicine and Rehabilitation Residency Program.</t>
  </si>
  <si>
    <t>61.2002</t>
  </si>
  <si>
    <t>61.2002 Spinal Cord Injury Medicine Fellowship Program.</t>
  </si>
  <si>
    <t>61.2003</t>
  </si>
  <si>
    <t>61.2003 Pediatric Rehabilitation Medicine Fellowship Program.</t>
  </si>
  <si>
    <t>61.2099</t>
  </si>
  <si>
    <t>61.2099 Physical Medicine and Rehabilitation Residency/Fellowship Programs, Other.</t>
  </si>
  <si>
    <t>61.21</t>
  </si>
  <si>
    <t>61.2101</t>
  </si>
  <si>
    <t>61.2101 Plastic Surgery Residency Program.</t>
  </si>
  <si>
    <t>61.2102</t>
  </si>
  <si>
    <t>61.2102 Integrated Plastic Surgery Residency Program.</t>
  </si>
  <si>
    <t>61.2103</t>
  </si>
  <si>
    <t>61.2103 Plastic Surgery Within the Head and Neck Fellowship Program.</t>
  </si>
  <si>
    <t>61.2199</t>
  </si>
  <si>
    <t>61.2199 Plastic Surgery Residency/Fellowship Programs, Other.</t>
  </si>
  <si>
    <t>61.22</t>
  </si>
  <si>
    <t>61.2201</t>
  </si>
  <si>
    <t>61.2201 Podiatric Medicine and Surgery Residency Program.</t>
  </si>
  <si>
    <t>61.2299</t>
  </si>
  <si>
    <t>61.2299 Podiatric Medicine Residency/Fellowship Programs, Other.</t>
  </si>
  <si>
    <t>61.23</t>
  </si>
  <si>
    <t>61.2301</t>
  </si>
  <si>
    <t>61.2301 Public Health and General Preventive Medicine Residency Program.</t>
  </si>
  <si>
    <t>61.2302</t>
  </si>
  <si>
    <t>61.2302 Aerospace Medicine Residency Program.</t>
  </si>
  <si>
    <t>61.2303</t>
  </si>
  <si>
    <t>61.2303 Occupational Medicine Residency Program.</t>
  </si>
  <si>
    <t>61.2399</t>
  </si>
  <si>
    <t>61.2399 Preventive Medicine Residency/Fellowship Programs, Other.</t>
  </si>
  <si>
    <t>61.24</t>
  </si>
  <si>
    <t>61.2401</t>
  </si>
  <si>
    <t>61.2401 Psychiatry Residency Program.</t>
  </si>
  <si>
    <t>61.2402</t>
  </si>
  <si>
    <t>61.2402 Addiction Psychiatry Fellowship Program.</t>
  </si>
  <si>
    <t>61.2403</t>
  </si>
  <si>
    <t>61.2403 Child and Adolescent Psychiatry Fellowship Program.</t>
  </si>
  <si>
    <t>61.2404</t>
  </si>
  <si>
    <t>61.2404 Consultation-Liaison Psychiatry Fellowship Program.</t>
  </si>
  <si>
    <t>61.2405</t>
  </si>
  <si>
    <t>61.2405 Forensic Psychiatry Fellowship Program.</t>
  </si>
  <si>
    <t>61.2406</t>
  </si>
  <si>
    <t>61.2406 Geriatric Psychiatry Fellowship Program.</t>
  </si>
  <si>
    <t>61.2499</t>
  </si>
  <si>
    <t>61.2499 Psychiatry Residency/Fellowship Programs, Other.</t>
  </si>
  <si>
    <t>61.25</t>
  </si>
  <si>
    <t>61.2501</t>
  </si>
  <si>
    <t>61.2501 Radiation Oncology Residency Program.</t>
  </si>
  <si>
    <t>61.2599</t>
  </si>
  <si>
    <t>61.2599 Radiation Oncology Residency/Fellowship Programs, Other.</t>
  </si>
  <si>
    <t>61.26</t>
  </si>
  <si>
    <t>61.2601</t>
  </si>
  <si>
    <t>61.2601 Diagnostic Radiology Residency Program.</t>
  </si>
  <si>
    <t>61.2602</t>
  </si>
  <si>
    <t>61.2602 Integrated Interventional Radiology Residency Program.</t>
  </si>
  <si>
    <t>61.2603</t>
  </si>
  <si>
    <t>61.2603 Abdominal Radiology Fellowship Program.</t>
  </si>
  <si>
    <t>61.2604</t>
  </si>
  <si>
    <t>61.2604 Diagnostic Radiologic Physics Residency Program.</t>
  </si>
  <si>
    <t>61.2605</t>
  </si>
  <si>
    <t>61.2605 Medical Nuclear Physics Residency Program.</t>
  </si>
  <si>
    <t>61.2606</t>
  </si>
  <si>
    <t>61.2606 Musculoskeletal Radiology Fellowship Program.</t>
  </si>
  <si>
    <t>61.2607</t>
  </si>
  <si>
    <t>61.2607 Neuroradiology Fellowship Program.</t>
  </si>
  <si>
    <t>61.2608</t>
  </si>
  <si>
    <t>61.2608 Nuclear Radiology Fellowship Program.</t>
  </si>
  <si>
    <t>61.2609</t>
  </si>
  <si>
    <t>61.2609 Pediatric Radiology Fellowship Program.</t>
  </si>
  <si>
    <t>61.2610</t>
  </si>
  <si>
    <t>61.2610 Radiologic Physics Residency Program.</t>
  </si>
  <si>
    <t>61.2611</t>
  </si>
  <si>
    <t>61.2611 Therapeutic Radiologic Physics Residency Program.</t>
  </si>
  <si>
    <t>61.2612</t>
  </si>
  <si>
    <t>61.2612 Vascular and Interventional Radiology Fellowship Program.</t>
  </si>
  <si>
    <t>61.2699</t>
  </si>
  <si>
    <t>61.2699 Radiology Residency/Fellowship Programs, Other.</t>
  </si>
  <si>
    <t>61.27</t>
  </si>
  <si>
    <t>61.2701</t>
  </si>
  <si>
    <t>61.2701 General Surgery Residency Program.</t>
  </si>
  <si>
    <t>61.2702</t>
  </si>
  <si>
    <t>61.2702 Colon and Rectal Surgery Residency Program.</t>
  </si>
  <si>
    <t>61.2703</t>
  </si>
  <si>
    <t>61.2703 Complex General Surgical Oncology Fellowship Program.</t>
  </si>
  <si>
    <t>61.2704</t>
  </si>
  <si>
    <t>61.2704 Congenital Cardiac Surgery Fellowship Program.</t>
  </si>
  <si>
    <t>61.2705</t>
  </si>
  <si>
    <t>61.2705 Pediatric Surgery Fellowship Program.</t>
  </si>
  <si>
    <t>61.2706</t>
  </si>
  <si>
    <t>61.2706 Surgical Critical Care Fellowship Program.</t>
  </si>
  <si>
    <t>61.2707</t>
  </si>
  <si>
    <t>61.2707 Thoracic Surgery Fellowship Program.</t>
  </si>
  <si>
    <t>61.2708</t>
  </si>
  <si>
    <t>61.2708 Vascular Surgery Fellowship Program.</t>
  </si>
  <si>
    <t>61.2799</t>
  </si>
  <si>
    <t>61.2799 Surgery Residency/Fellowship Programs, Other.</t>
  </si>
  <si>
    <t>61.28</t>
  </si>
  <si>
    <t>61.2801</t>
  </si>
  <si>
    <t>61.2801 Urology Residency Program.</t>
  </si>
  <si>
    <t>61.2802</t>
  </si>
  <si>
    <t>61.2802 Pediatric Urology Fellowship Program.</t>
  </si>
  <si>
    <t>61.2899</t>
  </si>
  <si>
    <t>61.2899 Urology Residency/Fellowship Programs, Other.</t>
  </si>
  <si>
    <t>61.99</t>
  </si>
  <si>
    <t>61.9999</t>
  </si>
  <si>
    <t>61.9999 Medical Residency/Fellowship Programs, Other.</t>
  </si>
  <si>
    <t>New CIP Abbrev.</t>
  </si>
  <si>
    <t>NACE College (begin typing the school name in this cell, then choose from the dropdown menu)</t>
  </si>
  <si>
    <t>Begin typing the program name in this cell, then choose from the dropdown menu</t>
  </si>
  <si>
    <t xml:space="preserve">Enter aggregated outcomes for graduates in Master Degree academic programs. </t>
  </si>
  <si>
    <t xml:space="preserve">Enter aggregated outcomes for graduates in Associate's Degree academic programs. </t>
  </si>
  <si>
    <t xml:space="preserve">Enter aggregated outcomes for graduates in Bachelor's Degree academic programs. </t>
  </si>
  <si>
    <t># Standard Emp FT</t>
  </si>
  <si>
    <t># Standard Emp 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</si>
</sst>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sz val="11"/>
      <color theme="1"/>
      <name val="Calibri"/>
      <family val="2"/>
      <scheme val="minor"/>
    </font>
    <font>
      <sz val="11"/>
      <color theme="1"/>
      <name val="Calibri"/>
      <family val="2"/>
      <scheme val="minor"/>
    </font>
    <font>
      <sz val="12"/>
      <color indexed="12"/>
      <name val="Calibri"/>
      <family val="2"/>
    </font>
    <font>
      <sz val="12"/>
      <name val="Calibri"/>
      <family val="2"/>
    </font>
    <font>
      <sz val="12"/>
      <color indexed="10"/>
      <name val="Calibri"/>
      <family val="2"/>
    </font>
    <font>
      <u/>
      <sz val="12"/>
      <color theme="10"/>
      <name val="Calibri"/>
      <family val="2"/>
      <scheme val="minor"/>
    </font>
    <font>
      <b/>
      <sz val="12"/>
      <color rgb="FF000000"/>
      <name val="Calibri"/>
      <family val="2"/>
      <scheme val="minor"/>
    </font>
    <font>
      <sz val="12"/>
      <color rgb="FF000000"/>
      <name val="Calibri"/>
      <family val="2"/>
      <scheme val="minor"/>
    </font>
    <font>
      <b/>
      <sz val="12"/>
      <color theme="1"/>
      <name val="Calibri"/>
      <family val="2"/>
      <scheme val="minor"/>
    </font>
    <font>
      <sz val="10"/>
      <color theme="1"/>
      <name val="Calibri"/>
      <family val="2"/>
      <scheme val="minor"/>
    </font>
    <font>
      <b/>
      <sz val="10"/>
      <color theme="0"/>
      <name val="Calibri"/>
      <family val="2"/>
      <scheme val="minor"/>
    </font>
    <font>
      <sz val="9"/>
      <color theme="1"/>
      <name val="Calibri"/>
      <family val="2"/>
      <scheme val="minor"/>
    </font>
    <font>
      <sz val="9"/>
      <color rgb="FF000000"/>
      <name val="Calibri"/>
      <family val="2"/>
      <scheme val="minor"/>
    </font>
    <font>
      <b/>
      <sz val="12"/>
      <name val="Calibri"/>
      <family val="2"/>
      <scheme val="minor"/>
    </font>
    <font>
      <sz val="12"/>
      <color theme="10"/>
      <name val="Calibri"/>
      <family val="2"/>
      <scheme val="minor"/>
    </font>
    <font>
      <i/>
      <sz val="12"/>
      <color theme="1"/>
      <name val="Calibri"/>
      <family val="2"/>
      <scheme val="minor"/>
    </font>
    <font>
      <sz val="12"/>
      <color rgb="FFFF0000"/>
      <name val="Calibri"/>
      <family val="2"/>
      <scheme val="minor"/>
    </font>
    <font>
      <sz val="11"/>
      <color rgb="FF000000"/>
      <name val="Calibri"/>
      <family val="2"/>
    </font>
    <font>
      <b/>
      <sz val="10"/>
      <color rgb="FF000000"/>
      <name val="Calibri"/>
      <family val="2"/>
      <scheme val="minor"/>
    </font>
    <font>
      <sz val="12"/>
      <color theme="1"/>
      <name val="Calibri"/>
      <family val="2"/>
      <scheme val="minor"/>
    </font>
    <font>
      <b/>
      <sz val="11"/>
      <color theme="1"/>
      <name val="Calibri"/>
      <family val="2"/>
      <scheme val="minor"/>
    </font>
    <font>
      <sz val="12"/>
      <color theme="1"/>
      <name val="Calibri"/>
      <family val="2"/>
    </font>
    <font>
      <sz val="7"/>
      <name val="Courier New"/>
      <family val="3"/>
    </font>
  </fonts>
  <fills count="9">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rgb="FFFF0000"/>
        <bgColor indexed="64"/>
      </patternFill>
    </fill>
  </fills>
  <borders count="3">
    <border>
      <left/>
      <right/>
      <top/>
      <bottom/>
      <diagonal/>
    </border>
    <border>
      <left style="medium">
        <color rgb="FFFFFF00"/>
      </left>
      <right/>
      <top style="medium">
        <color rgb="FFFFFF00"/>
      </top>
      <bottom/>
      <diagonal/>
    </border>
    <border>
      <left/>
      <right style="medium">
        <color rgb="FFFFFF00"/>
      </right>
      <top style="medium">
        <color rgb="FFFFFF00"/>
      </top>
      <bottom/>
      <diagonal/>
    </border>
  </borders>
  <cellStyleXfs count="4">
    <xf numFmtId="0" fontId="0" fillId="0" borderId="0"/>
    <xf numFmtId="0" fontId="6" fillId="0" borderId="0" applyNumberFormat="0" applyFill="0" applyBorder="0" applyAlignment="0" applyProtection="0"/>
    <xf numFmtId="0" fontId="2" fillId="0" borderId="0"/>
    <xf numFmtId="0" fontId="1" fillId="0" borderId="0"/>
  </cellStyleXfs>
  <cellXfs count="49">
    <xf numFmtId="0" fontId="0" fillId="0" borderId="0" xfId="0"/>
    <xf numFmtId="0" fontId="7" fillId="0" borderId="0" xfId="0" applyFont="1"/>
    <xf numFmtId="0" fontId="8" fillId="0" borderId="0" xfId="0" applyFont="1"/>
    <xf numFmtId="0" fontId="0" fillId="0" borderId="0" xfId="0" applyAlignment="1">
      <alignment horizontal="right"/>
    </xf>
    <xf numFmtId="0" fontId="9" fillId="0" borderId="0" xfId="0" applyFont="1" applyAlignment="1">
      <alignment horizontal="right"/>
    </xf>
    <xf numFmtId="0" fontId="9" fillId="0" borderId="0" xfId="0" applyFont="1" applyAlignment="1">
      <alignment horizontal="center"/>
    </xf>
    <xf numFmtId="10" fontId="0" fillId="0" borderId="0" xfId="0" applyNumberFormat="1" applyAlignment="1">
      <alignment horizontal="right"/>
    </xf>
    <xf numFmtId="0" fontId="0" fillId="0" borderId="0" xfId="0" applyAlignment="1">
      <alignment wrapText="1"/>
    </xf>
    <xf numFmtId="0" fontId="10" fillId="0" borderId="0" xfId="0" applyFont="1" applyAlignment="1">
      <alignment horizontal="center" wrapText="1"/>
    </xf>
    <xf numFmtId="0" fontId="11" fillId="2" borderId="0" xfId="0" applyFont="1" applyFill="1" applyAlignment="1">
      <alignment horizontal="center" wrapText="1"/>
    </xf>
    <xf numFmtId="0" fontId="9" fillId="0" borderId="0" xfId="0" applyFont="1"/>
    <xf numFmtId="0" fontId="0" fillId="0" borderId="0" xfId="0" applyAlignment="1">
      <alignment horizontal="left" indent="1"/>
    </xf>
    <xf numFmtId="0" fontId="14" fillId="0" borderId="0" xfId="0" applyFont="1" applyAlignment="1">
      <alignment horizontal="left"/>
    </xf>
    <xf numFmtId="0" fontId="15" fillId="0" borderId="0" xfId="1" applyFont="1"/>
    <xf numFmtId="0" fontId="15" fillId="0" borderId="0" xfId="1" applyFont="1" applyAlignment="1"/>
    <xf numFmtId="0" fontId="16" fillId="0" borderId="0" xfId="0" applyFont="1"/>
    <xf numFmtId="0" fontId="6" fillId="0" borderId="0" xfId="1"/>
    <xf numFmtId="0" fontId="12" fillId="0" borderId="0" xfId="0" applyFont="1"/>
    <xf numFmtId="0" fontId="0" fillId="0" borderId="0" xfId="0" applyAlignment="1">
      <alignment horizontal="center"/>
    </xf>
    <xf numFmtId="0" fontId="18" fillId="0" borderId="0" xfId="0" applyFont="1"/>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21" fillId="0" borderId="0" xfId="2" applyFont="1"/>
    <xf numFmtId="0" fontId="20" fillId="0" borderId="0" xfId="0" applyFont="1"/>
    <xf numFmtId="0" fontId="2" fillId="0" borderId="0" xfId="2"/>
    <xf numFmtId="0" fontId="22" fillId="0" borderId="0" xfId="2" applyFont="1"/>
    <xf numFmtId="0" fontId="19" fillId="3" borderId="0" xfId="0" applyFont="1" applyFill="1" applyAlignment="1">
      <alignment horizontal="left" wrapText="1"/>
    </xf>
    <xf numFmtId="0" fontId="13" fillId="3" borderId="0" xfId="0" applyFont="1" applyFill="1" applyAlignment="1">
      <alignment wrapText="1"/>
    </xf>
    <xf numFmtId="0" fontId="19" fillId="3" borderId="0" xfId="0" applyFont="1" applyFill="1" applyAlignment="1">
      <alignment horizontal="left" vertical="center" wrapText="1"/>
    </xf>
    <xf numFmtId="0" fontId="13" fillId="3" borderId="0" xfId="0" applyFont="1" applyFill="1" applyAlignment="1">
      <alignment vertical="center" wrapText="1"/>
    </xf>
    <xf numFmtId="0" fontId="19" fillId="3" borderId="0" xfId="0" applyFont="1" applyFill="1" applyAlignment="1">
      <alignment horizontal="left" vertical="center"/>
    </xf>
    <xf numFmtId="0" fontId="0" fillId="4" borderId="0" xfId="0" applyFill="1"/>
    <xf numFmtId="0" fontId="0" fillId="4" borderId="0" xfId="0" applyFill="1" applyProtection="1">
      <protection locked="0"/>
    </xf>
    <xf numFmtId="0" fontId="0" fillId="5" borderId="0" xfId="0" applyFill="1" applyProtection="1">
      <protection locked="0"/>
    </xf>
    <xf numFmtId="0" fontId="0" fillId="6" borderId="0" xfId="0" applyFill="1"/>
    <xf numFmtId="0" fontId="0" fillId="7" borderId="0" xfId="0" applyFill="1"/>
    <xf numFmtId="0" fontId="0" fillId="7" borderId="0" xfId="0" applyFill="1" applyProtection="1">
      <protection locked="0"/>
    </xf>
    <xf numFmtId="0" fontId="9" fillId="6" borderId="0" xfId="0" applyFont="1" applyFill="1"/>
    <xf numFmtId="0" fontId="20" fillId="6" borderId="0" xfId="0" applyFont="1" applyFill="1"/>
    <xf numFmtId="0" fontId="2" fillId="6" borderId="0" xfId="2" applyFill="1"/>
    <xf numFmtId="0" fontId="23" fillId="0" borderId="0" xfId="0" applyFont="1" applyProtection="1">
      <protection locked="0"/>
    </xf>
    <xf numFmtId="0" fontId="0" fillId="5" borderId="0" xfId="0" applyFill="1"/>
    <xf numFmtId="0" fontId="20" fillId="8" borderId="0" xfId="0" applyFont="1" applyFill="1"/>
    <xf numFmtId="0" fontId="0" fillId="7" borderId="0" xfId="0" quotePrefix="1" applyFill="1"/>
    <xf numFmtId="2" fontId="20" fillId="7" borderId="0" xfId="0" quotePrefix="1" applyNumberFormat="1" applyFont="1" applyFill="1"/>
    <xf numFmtId="0" fontId="1" fillId="7" borderId="0" xfId="2" quotePrefix="1" applyFont="1" applyFill="1"/>
    <xf numFmtId="1" fontId="20" fillId="7" borderId="0" xfId="0" quotePrefix="1" applyNumberFormat="1" applyFont="1" applyFill="1"/>
    <xf numFmtId="1" fontId="1" fillId="7" borderId="0" xfId="2" quotePrefix="1" applyNumberFormat="1" applyFont="1" applyFill="1"/>
    <xf numFmtId="0" fontId="6" fillId="0" borderId="0" xfId="1" applyFill="1"/>
  </cellXfs>
  <cellStyles count="4">
    <cellStyle name="Hyperlink" xfId="1" builtinId="8"/>
    <cellStyle name="Normal" xfId="0" builtinId="0"/>
    <cellStyle name="Normal 2" xfId="2" xr:uid="{0E26EBB8-B0A8-4721-84DF-A94217F724DF}"/>
    <cellStyle name="Normal 2 2" xfId="3" xr:uid="{C7398BC0-812F-4F82-8AA5-B1515F3C0148}"/>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numFmt numFmtId="0" formatCode="General"/>
    </dxf>
    <dxf>
      <numFmt numFmtId="0" formatCode="General"/>
    </dxf>
    <dxf>
      <numFmt numFmtId="0" formatCode="General"/>
    </dxf>
    <dxf>
      <numFmt numFmtId="0" formatCode="Genera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219075</xdr:colOff>
      <xdr:row>1</xdr:row>
      <xdr:rowOff>200025</xdr:rowOff>
    </xdr:to>
    <xdr:pic>
      <xdr:nvPicPr>
        <xdr:cNvPr id="1035" name="Picture 1" descr="clip_image001.png">
          <a:extLst>
            <a:ext uri="{FF2B5EF4-FFF2-40B4-BE49-F238E27FC236}">
              <a16:creationId xmlns:a16="http://schemas.microsoft.com/office/drawing/2014/main" id="{F47F6191-CE9D-4BFB-9B15-FCEA81C359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200025"/>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219075" cy="200025"/>
    <xdr:pic>
      <xdr:nvPicPr>
        <xdr:cNvPr id="2" name="Picture 1" descr="clip_image001.png">
          <a:extLst>
            <a:ext uri="{FF2B5EF4-FFF2-40B4-BE49-F238E27FC236}">
              <a16:creationId xmlns:a16="http://schemas.microsoft.com/office/drawing/2014/main" id="{4B12475B-54E9-46C0-B802-CDED06D52A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43325" y="209550"/>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219075</xdr:colOff>
      <xdr:row>1</xdr:row>
      <xdr:rowOff>200025</xdr:rowOff>
    </xdr:to>
    <xdr:pic>
      <xdr:nvPicPr>
        <xdr:cNvPr id="2059" name="Picture 1" descr="clip_image001.png">
          <a:extLst>
            <a:ext uri="{FF2B5EF4-FFF2-40B4-BE49-F238E27FC236}">
              <a16:creationId xmlns:a16="http://schemas.microsoft.com/office/drawing/2014/main" id="{135966BD-BA1E-4888-80A9-BA88ACDBEC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200025"/>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219075" cy="200025"/>
    <xdr:pic>
      <xdr:nvPicPr>
        <xdr:cNvPr id="2" name="Picture 1" descr="clip_image001.png">
          <a:extLst>
            <a:ext uri="{FF2B5EF4-FFF2-40B4-BE49-F238E27FC236}">
              <a16:creationId xmlns:a16="http://schemas.microsoft.com/office/drawing/2014/main" id="{55802E4D-1869-4EF3-88DB-20F660A919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43325" y="209550"/>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215900</xdr:colOff>
      <xdr:row>1</xdr:row>
      <xdr:rowOff>196850</xdr:rowOff>
    </xdr:to>
    <xdr:pic>
      <xdr:nvPicPr>
        <xdr:cNvPr id="3083" name="Picture 1" descr="clip_image001.png">
          <a:extLst>
            <a:ext uri="{FF2B5EF4-FFF2-40B4-BE49-F238E27FC236}">
              <a16:creationId xmlns:a16="http://schemas.microsoft.com/office/drawing/2014/main" id="{D6598E26-2E6B-431B-9CC5-50C2A8D0EE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200025"/>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219075" cy="200025"/>
    <xdr:pic>
      <xdr:nvPicPr>
        <xdr:cNvPr id="2" name="Picture 1" descr="clip_image001.png">
          <a:extLst>
            <a:ext uri="{FF2B5EF4-FFF2-40B4-BE49-F238E27FC236}">
              <a16:creationId xmlns:a16="http://schemas.microsoft.com/office/drawing/2014/main" id="{EC62D87C-5A17-4602-A488-06A366FFE2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43325" y="209550"/>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215900</xdr:colOff>
      <xdr:row>1</xdr:row>
      <xdr:rowOff>196850</xdr:rowOff>
    </xdr:to>
    <xdr:pic>
      <xdr:nvPicPr>
        <xdr:cNvPr id="4107" name="Picture 1" descr="clip_image001.png">
          <a:extLst>
            <a:ext uri="{FF2B5EF4-FFF2-40B4-BE49-F238E27FC236}">
              <a16:creationId xmlns:a16="http://schemas.microsoft.com/office/drawing/2014/main" id="{ED04092F-74A0-4578-B6D8-332B197A60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200025"/>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219075" cy="200025"/>
    <xdr:pic>
      <xdr:nvPicPr>
        <xdr:cNvPr id="2" name="Picture 1" descr="clip_image001.png">
          <a:extLst>
            <a:ext uri="{FF2B5EF4-FFF2-40B4-BE49-F238E27FC236}">
              <a16:creationId xmlns:a16="http://schemas.microsoft.com/office/drawing/2014/main" id="{65ED7B9A-5810-4BA2-8704-742F6002BE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43325" y="209550"/>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219075</xdr:colOff>
      <xdr:row>1</xdr:row>
      <xdr:rowOff>304800</xdr:rowOff>
    </xdr:to>
    <xdr:pic>
      <xdr:nvPicPr>
        <xdr:cNvPr id="2" name="Picture 1" descr="clip_image001.png">
          <a:extLst>
            <a:ext uri="{FF2B5EF4-FFF2-40B4-BE49-F238E27FC236}">
              <a16:creationId xmlns:a16="http://schemas.microsoft.com/office/drawing/2014/main" id="{14466002-98D4-4538-BD24-A30CF97E33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200025"/>
          <a:ext cx="2190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215900</xdr:colOff>
      <xdr:row>1</xdr:row>
      <xdr:rowOff>304800</xdr:rowOff>
    </xdr:to>
    <xdr:pic>
      <xdr:nvPicPr>
        <xdr:cNvPr id="5131" name="Picture 1" descr="clip_image001.png">
          <a:extLst>
            <a:ext uri="{FF2B5EF4-FFF2-40B4-BE49-F238E27FC236}">
              <a16:creationId xmlns:a16="http://schemas.microsoft.com/office/drawing/2014/main" id="{E7266AF5-697E-4953-876F-0CC883BC83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200025"/>
          <a:ext cx="2190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1</xdr:row>
      <xdr:rowOff>0</xdr:rowOff>
    </xdr:from>
    <xdr:ext cx="219075" cy="200025"/>
    <xdr:pic>
      <xdr:nvPicPr>
        <xdr:cNvPr id="2" name="Picture 1" descr="clip_image001.png">
          <a:extLst>
            <a:ext uri="{FF2B5EF4-FFF2-40B4-BE49-F238E27FC236}">
              <a16:creationId xmlns:a16="http://schemas.microsoft.com/office/drawing/2014/main" id="{EB9F42F8-6058-459F-B779-185C4EA104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43325" y="209550"/>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219075</xdr:colOff>
      <xdr:row>2</xdr:row>
      <xdr:rowOff>104775</xdr:rowOff>
    </xdr:to>
    <xdr:pic>
      <xdr:nvPicPr>
        <xdr:cNvPr id="6155" name="Picture 1" descr="clip_image001.png">
          <a:extLst>
            <a:ext uri="{FF2B5EF4-FFF2-40B4-BE49-F238E27FC236}">
              <a16:creationId xmlns:a16="http://schemas.microsoft.com/office/drawing/2014/main" id="{948487D8-C45F-4D70-802A-51BC1E8146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200025"/>
          <a:ext cx="2190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215900</xdr:colOff>
      <xdr:row>3</xdr:row>
      <xdr:rowOff>168275</xdr:rowOff>
    </xdr:to>
    <xdr:pic>
      <xdr:nvPicPr>
        <xdr:cNvPr id="7189" name="Picture 1" descr="clip_image001.png">
          <a:extLst>
            <a:ext uri="{FF2B5EF4-FFF2-40B4-BE49-F238E27FC236}">
              <a16:creationId xmlns:a16="http://schemas.microsoft.com/office/drawing/2014/main" id="{CF22CE8B-1974-4A06-8A8C-5288EDE558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200025"/>
          <a:ext cx="2190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xdr:row>
      <xdr:rowOff>0</xdr:rowOff>
    </xdr:from>
    <xdr:to>
      <xdr:col>4</xdr:col>
      <xdr:colOff>215900</xdr:colOff>
      <xdr:row>1</xdr:row>
      <xdr:rowOff>196850</xdr:rowOff>
    </xdr:to>
    <xdr:pic>
      <xdr:nvPicPr>
        <xdr:cNvPr id="7190" name="Picture 1" descr="clip_image001.png">
          <a:extLst>
            <a:ext uri="{FF2B5EF4-FFF2-40B4-BE49-F238E27FC236}">
              <a16:creationId xmlns:a16="http://schemas.microsoft.com/office/drawing/2014/main" id="{3B24BE28-9FA6-488A-AA85-3DEF8D74D6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1725" y="200025"/>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0</xdr:colOff>
      <xdr:row>1</xdr:row>
      <xdr:rowOff>0</xdr:rowOff>
    </xdr:from>
    <xdr:ext cx="219075" cy="200025"/>
    <xdr:pic>
      <xdr:nvPicPr>
        <xdr:cNvPr id="2" name="Picture 1" descr="clip_image001.png">
          <a:extLst>
            <a:ext uri="{FF2B5EF4-FFF2-40B4-BE49-F238E27FC236}">
              <a16:creationId xmlns:a16="http://schemas.microsoft.com/office/drawing/2014/main" id="{3B45648A-D508-4DFE-A9F4-B54E792042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43325" y="209550"/>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1</xdr:row>
      <xdr:rowOff>0</xdr:rowOff>
    </xdr:from>
    <xdr:to>
      <xdr:col>2</xdr:col>
      <xdr:colOff>215900</xdr:colOff>
      <xdr:row>3</xdr:row>
      <xdr:rowOff>168275</xdr:rowOff>
    </xdr:to>
    <xdr:pic>
      <xdr:nvPicPr>
        <xdr:cNvPr id="3" name="Picture 1" descr="clip_image001.png">
          <a:extLst>
            <a:ext uri="{FF2B5EF4-FFF2-40B4-BE49-F238E27FC236}">
              <a16:creationId xmlns:a16="http://schemas.microsoft.com/office/drawing/2014/main" id="{F90A19BC-9CDE-48FD-B4C5-38EC32CA84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209550"/>
          <a:ext cx="215900" cy="1311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215900</xdr:colOff>
      <xdr:row>3</xdr:row>
      <xdr:rowOff>168275</xdr:rowOff>
    </xdr:to>
    <xdr:pic>
      <xdr:nvPicPr>
        <xdr:cNvPr id="4" name="Picture 1" descr="clip_image001.png">
          <a:extLst>
            <a:ext uri="{FF2B5EF4-FFF2-40B4-BE49-F238E27FC236}">
              <a16:creationId xmlns:a16="http://schemas.microsoft.com/office/drawing/2014/main" id="{D875FE3D-A26F-4BD8-A502-0D5803995D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209550"/>
          <a:ext cx="215900" cy="1311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215900</xdr:colOff>
      <xdr:row>6</xdr:row>
      <xdr:rowOff>133350</xdr:rowOff>
    </xdr:to>
    <xdr:pic>
      <xdr:nvPicPr>
        <xdr:cNvPr id="8223" name="Picture 3" descr="clip_image001.png">
          <a:extLst>
            <a:ext uri="{FF2B5EF4-FFF2-40B4-BE49-F238E27FC236}">
              <a16:creationId xmlns:a16="http://schemas.microsoft.com/office/drawing/2014/main" id="{BEA476BF-53EB-4F5E-B079-4382FEB923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200025"/>
          <a:ext cx="219075"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xdr:row>
      <xdr:rowOff>0</xdr:rowOff>
    </xdr:from>
    <xdr:to>
      <xdr:col>4</xdr:col>
      <xdr:colOff>215900</xdr:colOff>
      <xdr:row>1</xdr:row>
      <xdr:rowOff>196850</xdr:rowOff>
    </xdr:to>
    <xdr:pic>
      <xdr:nvPicPr>
        <xdr:cNvPr id="8224" name="Picture 1" descr="clip_image001.png">
          <a:extLst>
            <a:ext uri="{FF2B5EF4-FFF2-40B4-BE49-F238E27FC236}">
              <a16:creationId xmlns:a16="http://schemas.microsoft.com/office/drawing/2014/main" id="{31530044-5F2A-4C71-BD5E-CF2E86489A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1725" y="200025"/>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xdr:row>
      <xdr:rowOff>0</xdr:rowOff>
    </xdr:from>
    <xdr:to>
      <xdr:col>4</xdr:col>
      <xdr:colOff>215900</xdr:colOff>
      <xdr:row>1</xdr:row>
      <xdr:rowOff>196850</xdr:rowOff>
    </xdr:to>
    <xdr:pic>
      <xdr:nvPicPr>
        <xdr:cNvPr id="8225" name="Picture 5" descr="clip_image001.png">
          <a:extLst>
            <a:ext uri="{FF2B5EF4-FFF2-40B4-BE49-F238E27FC236}">
              <a16:creationId xmlns:a16="http://schemas.microsoft.com/office/drawing/2014/main" id="{E14C7778-D1CE-42A7-8C08-9A85361000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1725" y="200025"/>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0</xdr:colOff>
      <xdr:row>1</xdr:row>
      <xdr:rowOff>0</xdr:rowOff>
    </xdr:from>
    <xdr:ext cx="219075" cy="200025"/>
    <xdr:pic>
      <xdr:nvPicPr>
        <xdr:cNvPr id="2" name="Picture 1" descr="clip_image001.png">
          <a:extLst>
            <a:ext uri="{FF2B5EF4-FFF2-40B4-BE49-F238E27FC236}">
              <a16:creationId xmlns:a16="http://schemas.microsoft.com/office/drawing/2014/main" id="{CC36E1F0-CB9D-414D-8422-8A45CB0CBE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43325" y="209550"/>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1</xdr:row>
      <xdr:rowOff>0</xdr:rowOff>
    </xdr:from>
    <xdr:to>
      <xdr:col>2</xdr:col>
      <xdr:colOff>215900</xdr:colOff>
      <xdr:row>4</xdr:row>
      <xdr:rowOff>130175</xdr:rowOff>
    </xdr:to>
    <xdr:pic>
      <xdr:nvPicPr>
        <xdr:cNvPr id="3" name="Picture 1" descr="clip_image001.png">
          <a:extLst>
            <a:ext uri="{FF2B5EF4-FFF2-40B4-BE49-F238E27FC236}">
              <a16:creationId xmlns:a16="http://schemas.microsoft.com/office/drawing/2014/main" id="{3E8566E1-3DBC-4662-8D50-CA15A57F28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209550"/>
          <a:ext cx="215900" cy="1311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215900</xdr:colOff>
      <xdr:row>3</xdr:row>
      <xdr:rowOff>168275</xdr:rowOff>
    </xdr:to>
    <xdr:pic>
      <xdr:nvPicPr>
        <xdr:cNvPr id="4" name="Picture 1" descr="clip_image001.png">
          <a:extLst>
            <a:ext uri="{FF2B5EF4-FFF2-40B4-BE49-F238E27FC236}">
              <a16:creationId xmlns:a16="http://schemas.microsoft.com/office/drawing/2014/main" id="{4545206C-604C-41E9-81A2-C85F39075A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14700" y="209550"/>
          <a:ext cx="215900" cy="1311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215900</xdr:colOff>
      <xdr:row>3</xdr:row>
      <xdr:rowOff>168275</xdr:rowOff>
    </xdr:to>
    <xdr:pic>
      <xdr:nvPicPr>
        <xdr:cNvPr id="5" name="Picture 1" descr="clip_image001.png">
          <a:extLst>
            <a:ext uri="{FF2B5EF4-FFF2-40B4-BE49-F238E27FC236}">
              <a16:creationId xmlns:a16="http://schemas.microsoft.com/office/drawing/2014/main" id="{C737E09A-D6D0-415F-957A-434EC14BCB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14700" y="209550"/>
          <a:ext cx="215900" cy="1311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215900</xdr:colOff>
      <xdr:row>3</xdr:row>
      <xdr:rowOff>168275</xdr:rowOff>
    </xdr:to>
    <xdr:pic>
      <xdr:nvPicPr>
        <xdr:cNvPr id="6" name="Picture 1" descr="clip_image001.png">
          <a:extLst>
            <a:ext uri="{FF2B5EF4-FFF2-40B4-BE49-F238E27FC236}">
              <a16:creationId xmlns:a16="http://schemas.microsoft.com/office/drawing/2014/main" id="{84AD3AD9-7843-4208-AC3A-7B1BC33847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14700" y="209550"/>
          <a:ext cx="215900" cy="1311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B9D305E-27D6-4A53-A08F-0A76A88A79A7}" name="School_List" displayName="School_List" ref="A1:B6290" totalsRowShown="0" headerRowDxfId="7" dataDxfId="6">
  <autoFilter ref="A1:B6290" xr:uid="{8B9D305E-27D6-4A53-A08F-0A76A88A79A7}"/>
  <tableColumns count="2">
    <tableColumn id="2" xr3:uid="{F6312DDF-C7D9-4C03-A62E-EE7D673F4B24}" name="School" dataDxfId="5"/>
    <tableColumn id="3" xr3:uid="{4D93EEF9-DB2B-40BE-BA26-0611142CEF15}" name="IPEDS" dataDxfId="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esearch@naceweb.org?subject=NACE%20First-Destination%20Template%20Question" TargetMode="External"/><Relationship Id="rId1" Type="http://schemas.openxmlformats.org/officeDocument/2006/relationships/hyperlink" Target="mailto:research@naceweb.org?subject=NACE%20First-Destination%20Survey:%20Data%20from%20%3cinsert%20your%20school%20name%3e"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6"/>
  <sheetViews>
    <sheetView tabSelected="1" workbookViewId="0">
      <selection activeCell="B1" sqref="B1"/>
    </sheetView>
  </sheetViews>
  <sheetFormatPr defaultRowHeight="15.75" x14ac:dyDescent="0.25"/>
  <cols>
    <col min="1" max="1" width="74.25" bestFit="1" customWidth="1"/>
  </cols>
  <sheetData>
    <row r="1" spans="1:1" x14ac:dyDescent="0.25">
      <c r="A1" s="10" t="s">
        <v>2640</v>
      </c>
    </row>
    <row r="2" spans="1:1" x14ac:dyDescent="0.25">
      <c r="A2" s="18" t="s">
        <v>2641</v>
      </c>
    </row>
    <row r="3" spans="1:1" x14ac:dyDescent="0.25">
      <c r="A3" s="15" t="s">
        <v>76</v>
      </c>
    </row>
    <row r="5" spans="1:1" x14ac:dyDescent="0.25">
      <c r="A5" s="10" t="s">
        <v>71</v>
      </c>
    </row>
    <row r="6" spans="1:1" x14ac:dyDescent="0.25">
      <c r="A6" s="11" t="s">
        <v>67</v>
      </c>
    </row>
    <row r="7" spans="1:1" x14ac:dyDescent="0.25">
      <c r="A7" s="11" t="s">
        <v>1786</v>
      </c>
    </row>
    <row r="8" spans="1:1" x14ac:dyDescent="0.25">
      <c r="A8" s="11" t="s">
        <v>60</v>
      </c>
    </row>
    <row r="9" spans="1:1" x14ac:dyDescent="0.25">
      <c r="A9" s="11" t="s">
        <v>61</v>
      </c>
    </row>
    <row r="10" spans="1:1" x14ac:dyDescent="0.25">
      <c r="A10" s="11" t="s">
        <v>62</v>
      </c>
    </row>
    <row r="11" spans="1:1" x14ac:dyDescent="0.25">
      <c r="A11" s="11" t="s">
        <v>2639</v>
      </c>
    </row>
    <row r="12" spans="1:1" x14ac:dyDescent="0.25">
      <c r="A12" s="11" t="s">
        <v>64</v>
      </c>
    </row>
    <row r="13" spans="1:1" x14ac:dyDescent="0.25">
      <c r="A13" s="11" t="s">
        <v>63</v>
      </c>
    </row>
    <row r="14" spans="1:1" x14ac:dyDescent="0.25">
      <c r="A14" s="11" t="s">
        <v>65</v>
      </c>
    </row>
    <row r="15" spans="1:1" x14ac:dyDescent="0.25">
      <c r="A15" s="11" t="s">
        <v>66</v>
      </c>
    </row>
    <row r="17" spans="1:1" x14ac:dyDescent="0.25">
      <c r="A17" s="12" t="s">
        <v>2642</v>
      </c>
    </row>
    <row r="19" spans="1:1" x14ac:dyDescent="0.25">
      <c r="A19" s="10" t="s">
        <v>75</v>
      </c>
    </row>
    <row r="20" spans="1:1" x14ac:dyDescent="0.25">
      <c r="A20" s="13" t="s">
        <v>69</v>
      </c>
    </row>
    <row r="21" spans="1:1" x14ac:dyDescent="0.25">
      <c r="A21" t="s">
        <v>70</v>
      </c>
    </row>
    <row r="23" spans="1:1" x14ac:dyDescent="0.25">
      <c r="A23" s="10" t="s">
        <v>68</v>
      </c>
    </row>
    <row r="24" spans="1:1" x14ac:dyDescent="0.25">
      <c r="A24" t="s">
        <v>72</v>
      </c>
    </row>
    <row r="25" spans="1:1" x14ac:dyDescent="0.25">
      <c r="A25" s="14" t="s">
        <v>73</v>
      </c>
    </row>
    <row r="26" spans="1:1" x14ac:dyDescent="0.25">
      <c r="A26" t="s">
        <v>74</v>
      </c>
    </row>
  </sheetData>
  <hyperlinks>
    <hyperlink ref="A20" r:id="rId1" xr:uid="{00000000-0004-0000-0000-000000000000}"/>
    <hyperlink ref="A25" r:id="rId2" xr:uid="{00000000-0004-0000-0000-00000100000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4"/>
  <sheetViews>
    <sheetView workbookViewId="0">
      <selection activeCell="A4" sqref="A4"/>
    </sheetView>
  </sheetViews>
  <sheetFormatPr defaultColWidth="11" defaultRowHeight="15.75" x14ac:dyDescent="0.25"/>
  <cols>
    <col min="1" max="1" width="8.75" bestFit="1" customWidth="1"/>
    <col min="2" max="2" width="35.75" customWidth="1"/>
    <col min="3" max="3" width="10.5" customWidth="1"/>
    <col min="4" max="7" width="8.625" customWidth="1"/>
    <col min="8" max="9" width="10.125" customWidth="1"/>
    <col min="10" max="10" width="11.375" customWidth="1"/>
    <col min="11" max="11" width="11.875" customWidth="1"/>
    <col min="12" max="18" width="8.625" customWidth="1"/>
    <col min="19" max="19" width="9.375" customWidth="1"/>
    <col min="20" max="28" width="8.625" customWidth="1"/>
  </cols>
  <sheetData>
    <row r="1" spans="1:28" x14ac:dyDescent="0.25">
      <c r="A1" t="s">
        <v>2645</v>
      </c>
    </row>
    <row r="2" spans="1:28" s="8" customFormat="1" ht="51" x14ac:dyDescent="0.2">
      <c r="A2" s="9" t="s">
        <v>8820</v>
      </c>
      <c r="B2" s="9" t="s">
        <v>59</v>
      </c>
      <c r="C2" s="9" t="s">
        <v>29</v>
      </c>
      <c r="D2" s="9" t="s">
        <v>14957</v>
      </c>
      <c r="E2" s="9" t="s">
        <v>14958</v>
      </c>
      <c r="F2" s="9" t="s">
        <v>51</v>
      </c>
      <c r="G2" s="9" t="s">
        <v>50</v>
      </c>
      <c r="H2" s="9" t="s">
        <v>26</v>
      </c>
      <c r="I2" s="9" t="s">
        <v>27</v>
      </c>
      <c r="J2" s="9" t="s">
        <v>31</v>
      </c>
      <c r="K2" s="9" t="s">
        <v>32</v>
      </c>
      <c r="L2" s="9" t="s">
        <v>33</v>
      </c>
      <c r="M2" s="9" t="s">
        <v>34</v>
      </c>
      <c r="N2" s="9" t="s">
        <v>35</v>
      </c>
      <c r="O2" s="9" t="s">
        <v>36</v>
      </c>
      <c r="P2" s="9" t="s">
        <v>13</v>
      </c>
      <c r="Q2" s="9" t="s">
        <v>37</v>
      </c>
      <c r="R2" s="9" t="s">
        <v>38</v>
      </c>
      <c r="S2" s="9" t="s">
        <v>39</v>
      </c>
      <c r="T2" s="9" t="s">
        <v>40</v>
      </c>
      <c r="U2" s="9" t="s">
        <v>0</v>
      </c>
      <c r="V2" s="9" t="s">
        <v>1</v>
      </c>
      <c r="W2" s="9" t="s">
        <v>41</v>
      </c>
      <c r="X2" s="9" t="s">
        <v>2</v>
      </c>
      <c r="Y2" s="9" t="s">
        <v>3</v>
      </c>
      <c r="Z2" s="9" t="s">
        <v>42</v>
      </c>
      <c r="AA2" s="9" t="s">
        <v>4</v>
      </c>
      <c r="AB2" s="9" t="s">
        <v>5</v>
      </c>
    </row>
    <row r="3" spans="1:28" ht="26.25" x14ac:dyDescent="0.25">
      <c r="A3" s="28" t="e">
        <f>VLOOKUP(B3,School_List[],2,0)</f>
        <v>#N/A</v>
      </c>
      <c r="B3" s="26" t="s">
        <v>14952</v>
      </c>
      <c r="C3" s="1"/>
      <c r="D3" s="4"/>
      <c r="E3" s="4"/>
      <c r="F3" s="4"/>
      <c r="G3" s="4"/>
      <c r="H3" s="4"/>
      <c r="I3" s="4"/>
      <c r="J3" s="4"/>
      <c r="K3" s="4"/>
      <c r="L3" s="4"/>
      <c r="M3" s="4"/>
      <c r="N3" s="4"/>
      <c r="O3" s="4"/>
      <c r="P3" s="4"/>
      <c r="Q3" s="4"/>
    </row>
    <row r="4" spans="1:28" x14ac:dyDescent="0.25">
      <c r="A4" s="17"/>
      <c r="B4" s="17" t="s">
        <v>1776</v>
      </c>
      <c r="C4" s="2"/>
      <c r="D4" s="3"/>
      <c r="E4" s="3"/>
      <c r="F4" s="3"/>
      <c r="G4" s="3"/>
      <c r="H4" s="3"/>
      <c r="I4" s="3"/>
      <c r="J4" s="3"/>
      <c r="K4" s="3"/>
      <c r="L4" s="3"/>
      <c r="M4" s="3"/>
      <c r="N4" s="3"/>
      <c r="O4" s="3"/>
      <c r="P4" s="3"/>
      <c r="Q4" s="3"/>
      <c r="R4" s="3"/>
      <c r="S4" s="3"/>
      <c r="T4" s="3"/>
      <c r="U4" s="3"/>
      <c r="V4" s="3"/>
      <c r="W4" s="3"/>
    </row>
    <row r="5" spans="1:28" x14ac:dyDescent="0.25">
      <c r="A5" s="17"/>
      <c r="B5" s="17" t="s">
        <v>1777</v>
      </c>
      <c r="C5" s="2"/>
      <c r="D5" s="3"/>
      <c r="E5" s="3"/>
      <c r="F5" s="3"/>
      <c r="G5" s="3"/>
      <c r="H5" s="3"/>
      <c r="I5" s="3"/>
      <c r="J5" s="3"/>
      <c r="K5" s="3"/>
      <c r="L5" s="3"/>
      <c r="M5" s="3"/>
      <c r="N5" s="3"/>
      <c r="O5" s="3"/>
      <c r="P5" s="3"/>
      <c r="Q5" s="3"/>
      <c r="R5" s="3"/>
      <c r="S5" s="3"/>
      <c r="T5" s="3"/>
      <c r="U5" s="3"/>
      <c r="V5" s="3"/>
      <c r="W5" s="3"/>
    </row>
    <row r="6" spans="1:28" x14ac:dyDescent="0.25">
      <c r="A6" s="17"/>
      <c r="B6" s="17" t="s">
        <v>1787</v>
      </c>
      <c r="C6" s="2"/>
      <c r="D6" s="3"/>
      <c r="E6" s="3"/>
      <c r="F6" s="3"/>
      <c r="G6" s="3"/>
      <c r="H6" s="3"/>
      <c r="I6" s="3"/>
      <c r="J6" s="3"/>
      <c r="K6" s="3"/>
      <c r="L6" s="3"/>
      <c r="M6" s="3"/>
      <c r="N6" s="3"/>
      <c r="O6" s="3"/>
      <c r="P6" s="3"/>
      <c r="Q6" s="3"/>
      <c r="R6" s="3"/>
      <c r="S6" s="3"/>
      <c r="T6" s="3"/>
      <c r="U6" s="3"/>
      <c r="V6" s="3"/>
      <c r="W6" s="3"/>
    </row>
    <row r="7" spans="1:28" x14ac:dyDescent="0.25">
      <c r="A7" s="17"/>
      <c r="B7" s="17" t="s">
        <v>1778</v>
      </c>
      <c r="C7" s="2"/>
      <c r="D7" s="3"/>
      <c r="E7" s="3"/>
      <c r="F7" s="3"/>
      <c r="G7" s="3"/>
      <c r="H7" s="3"/>
      <c r="I7" s="3"/>
      <c r="J7" s="3"/>
      <c r="K7" s="3"/>
      <c r="L7" s="3"/>
      <c r="M7" s="3"/>
      <c r="N7" s="3"/>
      <c r="O7" s="3"/>
      <c r="P7" s="3"/>
      <c r="Q7" s="3"/>
      <c r="R7" s="3"/>
      <c r="S7" s="3"/>
      <c r="T7" s="3"/>
      <c r="U7" s="3"/>
      <c r="V7" s="3"/>
      <c r="W7" s="3"/>
    </row>
    <row r="8" spans="1:28" x14ac:dyDescent="0.25">
      <c r="A8" s="17"/>
      <c r="B8" s="17" t="s">
        <v>1779</v>
      </c>
      <c r="C8" s="2"/>
      <c r="R8" s="3"/>
      <c r="S8" s="3"/>
      <c r="T8" s="3"/>
      <c r="U8" s="3"/>
      <c r="V8" s="3"/>
      <c r="W8" s="3"/>
    </row>
    <row r="9" spans="1:28" x14ac:dyDescent="0.25">
      <c r="A9" s="17"/>
      <c r="B9" s="17" t="s">
        <v>1780</v>
      </c>
    </row>
    <row r="10" spans="1:28" x14ac:dyDescent="0.25">
      <c r="A10" s="17"/>
      <c r="B10" s="17" t="s">
        <v>1781</v>
      </c>
    </row>
    <row r="11" spans="1:28" x14ac:dyDescent="0.25">
      <c r="A11" s="17"/>
      <c r="B11" s="17" t="s">
        <v>1782</v>
      </c>
    </row>
    <row r="12" spans="1:28" x14ac:dyDescent="0.25">
      <c r="A12" s="17"/>
      <c r="B12" s="17" t="s">
        <v>1783</v>
      </c>
    </row>
    <row r="13" spans="1:28" x14ac:dyDescent="0.25">
      <c r="A13" s="17"/>
      <c r="B13" s="17" t="s">
        <v>1784</v>
      </c>
    </row>
    <row r="14" spans="1:28" x14ac:dyDescent="0.25">
      <c r="A14" s="17"/>
      <c r="B14" s="17" t="s">
        <v>1785</v>
      </c>
    </row>
  </sheetData>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prompt="If you are unable to find your school, double click on the cell to type it in." xr:uid="{3FE5DCF6-7331-44D4-8BB1-91D7BF886417}">
          <x14:formula1>
            <xm:f>'Higher Education Institutions'!$A:$A</xm:f>
          </x14:formula1>
          <xm:sqref>B3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14"/>
  <sheetViews>
    <sheetView workbookViewId="0">
      <selection activeCell="A4" sqref="A4"/>
    </sheetView>
  </sheetViews>
  <sheetFormatPr defaultColWidth="11" defaultRowHeight="15.75" x14ac:dyDescent="0.25"/>
  <cols>
    <col min="1" max="1" width="8.75" bestFit="1" customWidth="1"/>
    <col min="2" max="2" width="35.75" customWidth="1"/>
    <col min="3" max="3" width="10.5" customWidth="1"/>
    <col min="4" max="7" width="8.625" customWidth="1"/>
    <col min="8" max="9" width="10.125" customWidth="1"/>
    <col min="10" max="10" width="11.375" customWidth="1"/>
    <col min="11" max="11" width="11.875" customWidth="1"/>
    <col min="12" max="13" width="8.625" customWidth="1"/>
    <col min="14" max="15" width="9.5" customWidth="1"/>
    <col min="16" max="18" width="8.625" customWidth="1"/>
    <col min="19" max="19" width="9.375" customWidth="1"/>
    <col min="20" max="28" width="8.625" customWidth="1"/>
  </cols>
  <sheetData>
    <row r="1" spans="1:28" x14ac:dyDescent="0.25">
      <c r="A1" t="s">
        <v>2646</v>
      </c>
    </row>
    <row r="2" spans="1:28" s="8" customFormat="1" ht="51" x14ac:dyDescent="0.2">
      <c r="A2" s="9" t="s">
        <v>8820</v>
      </c>
      <c r="B2" s="9" t="s">
        <v>59</v>
      </c>
      <c r="C2" s="9" t="s">
        <v>29</v>
      </c>
      <c r="D2" s="9" t="s">
        <v>14957</v>
      </c>
      <c r="E2" s="9" t="s">
        <v>14958</v>
      </c>
      <c r="F2" s="9" t="s">
        <v>51</v>
      </c>
      <c r="G2" s="9" t="s">
        <v>50</v>
      </c>
      <c r="H2" s="9" t="s">
        <v>26</v>
      </c>
      <c r="I2" s="9" t="s">
        <v>27</v>
      </c>
      <c r="J2" s="9" t="s">
        <v>31</v>
      </c>
      <c r="K2" s="9" t="s">
        <v>32</v>
      </c>
      <c r="L2" s="9" t="s">
        <v>33</v>
      </c>
      <c r="M2" s="9" t="s">
        <v>34</v>
      </c>
      <c r="N2" s="9" t="s">
        <v>48</v>
      </c>
      <c r="O2" s="9" t="s">
        <v>49</v>
      </c>
      <c r="P2" s="9" t="s">
        <v>13</v>
      </c>
      <c r="Q2" s="9" t="s">
        <v>37</v>
      </c>
      <c r="R2" s="9" t="s">
        <v>38</v>
      </c>
      <c r="S2" s="9" t="s">
        <v>39</v>
      </c>
      <c r="T2" s="9" t="s">
        <v>40</v>
      </c>
      <c r="U2" s="9" t="s">
        <v>0</v>
      </c>
      <c r="V2" s="9" t="s">
        <v>1</v>
      </c>
      <c r="W2" s="9" t="s">
        <v>41</v>
      </c>
      <c r="X2" s="9" t="s">
        <v>2</v>
      </c>
      <c r="Y2" s="9" t="s">
        <v>3</v>
      </c>
      <c r="Z2" s="9" t="s">
        <v>42</v>
      </c>
      <c r="AA2" s="9" t="s">
        <v>4</v>
      </c>
      <c r="AB2" s="9" t="s">
        <v>5</v>
      </c>
    </row>
    <row r="3" spans="1:28" ht="26.25" x14ac:dyDescent="0.25">
      <c r="A3" s="30" t="e">
        <f>VLOOKUP(B3,School_List[],2,0)</f>
        <v>#N/A</v>
      </c>
      <c r="B3" s="26" t="s">
        <v>14952</v>
      </c>
      <c r="C3" s="1"/>
      <c r="D3" s="4"/>
      <c r="E3" s="4"/>
      <c r="F3" s="4"/>
      <c r="G3" s="4"/>
      <c r="H3" s="4"/>
      <c r="I3" s="4"/>
      <c r="J3" s="4"/>
      <c r="K3" s="4"/>
      <c r="L3" s="4"/>
      <c r="M3" s="4"/>
      <c r="N3" s="4"/>
      <c r="O3" s="4"/>
      <c r="P3" s="4"/>
      <c r="Q3" s="4"/>
    </row>
    <row r="4" spans="1:28" x14ac:dyDescent="0.25">
      <c r="A4" s="17"/>
      <c r="B4" s="17" t="s">
        <v>1776</v>
      </c>
      <c r="C4" s="2"/>
      <c r="D4" s="3"/>
      <c r="E4" s="3"/>
      <c r="F4" s="3"/>
      <c r="G4" s="3"/>
      <c r="H4" s="3"/>
      <c r="I4" s="3"/>
      <c r="J4" s="3"/>
      <c r="K4" s="3"/>
      <c r="L4" s="3"/>
      <c r="M4" s="3"/>
      <c r="N4" s="3"/>
      <c r="O4" s="3"/>
      <c r="P4" s="3"/>
      <c r="Q4" s="3"/>
      <c r="R4" s="3"/>
      <c r="S4" s="3"/>
      <c r="T4" s="3"/>
      <c r="U4" s="3"/>
      <c r="V4" s="3"/>
      <c r="W4" s="3"/>
    </row>
    <row r="5" spans="1:28" x14ac:dyDescent="0.25">
      <c r="A5" s="17"/>
      <c r="B5" s="17" t="s">
        <v>1777</v>
      </c>
      <c r="C5" s="2"/>
      <c r="D5" s="3"/>
      <c r="E5" s="3"/>
      <c r="F5" s="3"/>
      <c r="G5" s="3"/>
      <c r="H5" s="3"/>
      <c r="I5" s="3"/>
      <c r="J5" s="3"/>
      <c r="K5" s="3"/>
      <c r="L5" s="3"/>
      <c r="M5" s="3"/>
      <c r="N5" s="3"/>
      <c r="O5" s="3"/>
      <c r="P5" s="3"/>
      <c r="Q5" s="3"/>
      <c r="R5" s="3"/>
      <c r="S5" s="3"/>
      <c r="T5" s="3"/>
      <c r="U5" s="3"/>
      <c r="V5" s="3"/>
      <c r="W5" s="3"/>
    </row>
    <row r="6" spans="1:28" x14ac:dyDescent="0.25">
      <c r="A6" s="17"/>
      <c r="B6" s="17" t="s">
        <v>1787</v>
      </c>
      <c r="C6" s="2"/>
      <c r="D6" s="3"/>
      <c r="E6" s="3"/>
      <c r="F6" s="3"/>
      <c r="G6" s="3"/>
      <c r="H6" s="3"/>
      <c r="I6" s="3"/>
      <c r="J6" s="3"/>
      <c r="K6" s="3"/>
      <c r="L6" s="3"/>
      <c r="M6" s="3"/>
      <c r="N6" s="3"/>
      <c r="O6" s="3"/>
      <c r="P6" s="3"/>
      <c r="Q6" s="3"/>
      <c r="R6" s="3"/>
      <c r="S6" s="3"/>
      <c r="T6" s="3"/>
      <c r="U6" s="3"/>
      <c r="V6" s="3"/>
      <c r="W6" s="3"/>
    </row>
    <row r="7" spans="1:28" x14ac:dyDescent="0.25">
      <c r="A7" s="17"/>
      <c r="B7" s="17" t="s">
        <v>1778</v>
      </c>
      <c r="C7" s="2"/>
      <c r="D7" s="3"/>
      <c r="E7" s="3"/>
      <c r="F7" s="3"/>
      <c r="G7" s="3"/>
      <c r="H7" s="3"/>
      <c r="I7" s="3"/>
      <c r="J7" s="3"/>
      <c r="K7" s="3"/>
      <c r="L7" s="3"/>
      <c r="M7" s="3"/>
      <c r="N7" s="3"/>
      <c r="O7" s="3"/>
      <c r="P7" s="3"/>
      <c r="Q7" s="3"/>
      <c r="R7" s="3"/>
      <c r="S7" s="3"/>
      <c r="T7" s="3"/>
      <c r="U7" s="3"/>
      <c r="V7" s="3"/>
      <c r="W7" s="3"/>
    </row>
    <row r="8" spans="1:28" x14ac:dyDescent="0.25">
      <c r="A8" s="17"/>
      <c r="B8" s="17" t="s">
        <v>1779</v>
      </c>
      <c r="C8" s="2"/>
      <c r="R8" s="3"/>
      <c r="S8" s="3"/>
      <c r="T8" s="3"/>
      <c r="U8" s="3"/>
      <c r="V8" s="3"/>
      <c r="W8" s="3"/>
    </row>
    <row r="9" spans="1:28" x14ac:dyDescent="0.25">
      <c r="A9" s="17"/>
      <c r="B9" s="17" t="s">
        <v>1780</v>
      </c>
    </row>
    <row r="10" spans="1:28" x14ac:dyDescent="0.25">
      <c r="A10" s="17"/>
      <c r="B10" s="17" t="s">
        <v>1781</v>
      </c>
    </row>
    <row r="11" spans="1:28" x14ac:dyDescent="0.25">
      <c r="A11" s="17"/>
      <c r="B11" s="17" t="s">
        <v>1782</v>
      </c>
    </row>
    <row r="12" spans="1:28" x14ac:dyDescent="0.25">
      <c r="A12" s="17"/>
      <c r="B12" s="17" t="s">
        <v>1783</v>
      </c>
    </row>
    <row r="13" spans="1:28" x14ac:dyDescent="0.25">
      <c r="A13" s="17"/>
      <c r="B13" s="17" t="s">
        <v>1784</v>
      </c>
    </row>
    <row r="14" spans="1:28" x14ac:dyDescent="0.25">
      <c r="A14" s="17"/>
      <c r="B14" s="17" t="s">
        <v>1785</v>
      </c>
    </row>
  </sheetData>
  <dataValidations count="1">
    <dataValidation allowBlank="1" showInputMessage="1" sqref="C6" xr:uid="{4F1D8732-6479-4EB6-BD51-1C3698048280}"/>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prompt="If you are unable to find your school, double click on the cell to type it in." xr:uid="{C4382748-BB5A-4EE6-AF82-AE952B9459A2}">
          <x14:formula1>
            <xm:f>'Higher Education Institutions'!$A:$A</xm:f>
          </x14:formula1>
          <xm:sqref>B3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376AB-6B95-4760-BD29-6E70CA7D474E}">
  <dimension ref="A1:AF7"/>
  <sheetViews>
    <sheetView workbookViewId="0">
      <selection activeCell="A4" sqref="A4"/>
    </sheetView>
  </sheetViews>
  <sheetFormatPr defaultColWidth="11" defaultRowHeight="15.75" x14ac:dyDescent="0.25"/>
  <cols>
    <col min="1" max="1" width="8.75" customWidth="1"/>
    <col min="2" max="2" width="35" customWidth="1"/>
    <col min="3" max="3" width="25" customWidth="1"/>
    <col min="4" max="4" width="10" customWidth="1"/>
    <col min="5" max="5" width="10.5" customWidth="1"/>
    <col min="6" max="7" width="8.625" customWidth="1"/>
    <col min="8" max="9" width="10.125" customWidth="1"/>
    <col min="10" max="10" width="11.375" customWidth="1"/>
    <col min="11" max="11" width="11.875" customWidth="1"/>
    <col min="12" max="18" width="8.625" customWidth="1"/>
    <col min="19" max="19" width="9.375" customWidth="1"/>
    <col min="20" max="32" width="8.625" customWidth="1"/>
  </cols>
  <sheetData>
    <row r="1" spans="1:32" x14ac:dyDescent="0.25">
      <c r="A1" t="s">
        <v>14955</v>
      </c>
    </row>
    <row r="2" spans="1:32" s="8" customFormat="1" ht="51" x14ac:dyDescent="0.2">
      <c r="A2" s="9" t="s">
        <v>8820</v>
      </c>
      <c r="B2" s="9" t="s">
        <v>59</v>
      </c>
      <c r="C2" s="9" t="s">
        <v>30</v>
      </c>
      <c r="D2" s="9" t="s">
        <v>77</v>
      </c>
      <c r="E2" s="9" t="s">
        <v>29</v>
      </c>
      <c r="F2" s="9" t="s">
        <v>14957</v>
      </c>
      <c r="G2" s="9" t="s">
        <v>14958</v>
      </c>
      <c r="H2" s="9" t="s">
        <v>26</v>
      </c>
      <c r="I2" s="9" t="s">
        <v>27</v>
      </c>
      <c r="J2" s="9" t="s">
        <v>31</v>
      </c>
      <c r="K2" s="9" t="s">
        <v>32</v>
      </c>
      <c r="L2" s="9" t="s">
        <v>33</v>
      </c>
      <c r="M2" s="9" t="s">
        <v>34</v>
      </c>
      <c r="N2" s="9" t="s">
        <v>35</v>
      </c>
      <c r="O2" s="9" t="s">
        <v>36</v>
      </c>
      <c r="P2" s="9" t="s">
        <v>13</v>
      </c>
      <c r="Q2" s="9" t="s">
        <v>37</v>
      </c>
      <c r="R2" s="9" t="s">
        <v>38</v>
      </c>
      <c r="S2" s="9" t="s">
        <v>39</v>
      </c>
      <c r="T2" s="9" t="s">
        <v>40</v>
      </c>
      <c r="U2" s="9" t="s">
        <v>0</v>
      </c>
      <c r="V2" s="9" t="s">
        <v>1</v>
      </c>
      <c r="W2" s="9" t="s">
        <v>41</v>
      </c>
      <c r="X2" s="9" t="s">
        <v>2</v>
      </c>
      <c r="Y2" s="9" t="s">
        <v>3</v>
      </c>
      <c r="Z2" s="9" t="s">
        <v>16</v>
      </c>
      <c r="AA2" s="9" t="s">
        <v>17</v>
      </c>
      <c r="AB2" s="9" t="s">
        <v>42</v>
      </c>
      <c r="AC2" s="9" t="s">
        <v>4</v>
      </c>
      <c r="AD2" s="9" t="s">
        <v>5</v>
      </c>
      <c r="AE2" s="9" t="s">
        <v>18</v>
      </c>
      <c r="AF2" s="9" t="s">
        <v>19</v>
      </c>
    </row>
    <row r="3" spans="1:32" ht="39" customHeight="1" x14ac:dyDescent="0.25">
      <c r="A3" s="28" t="e">
        <f>VLOOKUP(B3,School_List[],2,0)</f>
        <v>#N/A</v>
      </c>
      <c r="B3" s="28" t="s">
        <v>14952</v>
      </c>
      <c r="C3" s="28" t="s">
        <v>14953</v>
      </c>
      <c r="D3" s="29" t="e">
        <f>VLOOKUP(C3,' CIP Codes --'!A2:J2849,9,0)</f>
        <v>#N/A</v>
      </c>
      <c r="F3" s="4"/>
      <c r="G3" s="4"/>
      <c r="H3" s="4"/>
      <c r="I3" s="4"/>
      <c r="J3" s="4"/>
      <c r="K3" s="4"/>
      <c r="L3" s="4"/>
      <c r="M3" s="4"/>
      <c r="N3" s="4"/>
      <c r="O3" s="4"/>
      <c r="P3" s="4"/>
      <c r="Q3" s="4"/>
    </row>
    <row r="4" spans="1:32" x14ac:dyDescent="0.25">
      <c r="C4" s="2"/>
      <c r="D4" s="2"/>
      <c r="E4" s="2"/>
      <c r="F4" s="3"/>
      <c r="G4" s="3"/>
      <c r="H4" s="3"/>
      <c r="I4" s="3"/>
      <c r="J4" s="3"/>
      <c r="K4" s="3"/>
      <c r="L4" s="3"/>
      <c r="M4" s="3"/>
      <c r="N4" s="3"/>
      <c r="O4" s="3"/>
      <c r="P4" s="3"/>
      <c r="Q4" s="3"/>
      <c r="R4" s="3"/>
      <c r="S4" s="3"/>
      <c r="T4" s="3"/>
      <c r="U4" s="3"/>
      <c r="V4" s="3"/>
      <c r="W4" s="3"/>
    </row>
    <row r="5" spans="1:32" x14ac:dyDescent="0.25">
      <c r="C5" s="2"/>
      <c r="D5" s="2"/>
      <c r="E5" s="2"/>
      <c r="F5" s="3"/>
      <c r="G5" s="3"/>
      <c r="H5" s="3"/>
      <c r="I5" s="3"/>
      <c r="J5" s="3"/>
      <c r="K5" s="3"/>
      <c r="L5" s="3"/>
      <c r="M5" s="3"/>
      <c r="N5" s="3"/>
      <c r="O5" s="3"/>
      <c r="P5" s="3"/>
      <c r="Q5" s="3"/>
      <c r="R5" s="3"/>
      <c r="S5" s="3"/>
      <c r="T5" s="3"/>
      <c r="U5" s="3"/>
      <c r="V5" s="3"/>
      <c r="W5" s="3"/>
    </row>
    <row r="6" spans="1:32" x14ac:dyDescent="0.25">
      <c r="C6" s="2"/>
      <c r="D6" s="2"/>
      <c r="E6" s="2"/>
      <c r="F6" s="3"/>
      <c r="G6" s="3"/>
      <c r="H6" s="3"/>
      <c r="I6" s="3"/>
      <c r="J6" s="3"/>
      <c r="K6" s="3"/>
      <c r="L6" s="3"/>
      <c r="M6" s="3"/>
      <c r="N6" s="3"/>
      <c r="O6" s="3"/>
      <c r="P6" s="3"/>
      <c r="Q6" s="3"/>
      <c r="R6" s="3"/>
      <c r="S6" s="3"/>
      <c r="T6" s="3"/>
      <c r="U6" s="3"/>
      <c r="V6" s="3"/>
      <c r="W6" s="3"/>
    </row>
    <row r="7" spans="1:32" x14ac:dyDescent="0.25">
      <c r="C7" s="2"/>
      <c r="D7" s="2"/>
      <c r="E7" s="2"/>
      <c r="R7" s="3"/>
      <c r="S7" s="3"/>
      <c r="T7" s="3"/>
      <c r="U7" s="3"/>
      <c r="V7" s="3"/>
      <c r="W7" s="3"/>
    </row>
  </sheetData>
  <pageMargins left="0.75" right="0.75" top="1" bottom="1" header="0.5" footer="0.5"/>
  <pageSetup orientation="portrait" horizontalDpi="4294967292" verticalDpi="4294967292" r:id="rId1"/>
  <drawing r:id="rId2"/>
  <extLst>
    <ext xmlns:x14="http://schemas.microsoft.com/office/spreadsheetml/2009/9/main" uri="{CCE6A557-97BC-4b89-ADB6-D9C93CAAB3DF}">
      <x14:dataValidations xmlns:xm="http://schemas.microsoft.com/office/excel/2006/main" count="2">
        <x14:dataValidation type="list" allowBlank="1" prompt="If you are unable to find your school, double click on the cell to type it in." xr:uid="{CD5FC5E2-02B7-4205-BCCE-5147F51479B4}">
          <x14:formula1>
            <xm:f>' CIP Codes --'!$A$1:$A$2848</xm:f>
          </x14:formula1>
          <xm:sqref>C3</xm:sqref>
        </x14:dataValidation>
        <x14:dataValidation type="list" allowBlank="1" prompt="If you are unable to find your school, double click on the cell to type it in." xr:uid="{752DFB5F-9ADA-4ECC-BA3F-B88A542C9D16}">
          <x14:formula1>
            <xm:f>'Higher Education Institutions'!$A:$A</xm:f>
          </x14:formula1>
          <xm:sqref>B3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7"/>
  <sheetViews>
    <sheetView topLeftCell="A2" workbookViewId="0">
      <selection activeCell="B4" sqref="B4"/>
    </sheetView>
  </sheetViews>
  <sheetFormatPr defaultColWidth="11" defaultRowHeight="15.75" x14ac:dyDescent="0.25"/>
  <cols>
    <col min="1" max="1" width="35.125" customWidth="1"/>
    <col min="2" max="2" width="18.5" customWidth="1"/>
    <col min="3" max="3" width="8.5" customWidth="1"/>
    <col min="4" max="4" width="10.5" customWidth="1"/>
    <col min="5" max="6" width="8.625" customWidth="1"/>
    <col min="7" max="8" width="10.125" customWidth="1"/>
    <col min="9" max="9" width="11.375" customWidth="1"/>
    <col min="10" max="10" width="11.875" customWidth="1"/>
    <col min="11" max="17" width="8.625" customWidth="1"/>
    <col min="18" max="18" width="9.375" customWidth="1"/>
    <col min="19" max="31" width="8.625" customWidth="1"/>
  </cols>
  <sheetData>
    <row r="1" spans="1:31" ht="16.5" thickBot="1" x14ac:dyDescent="0.3">
      <c r="A1" t="s">
        <v>57</v>
      </c>
    </row>
    <row r="2" spans="1:31" s="8" customFormat="1" ht="89.25" x14ac:dyDescent="0.2">
      <c r="A2" s="9" t="s">
        <v>59</v>
      </c>
      <c r="B2" s="9" t="s">
        <v>30</v>
      </c>
      <c r="C2" s="9" t="s">
        <v>77</v>
      </c>
      <c r="D2" s="9" t="s">
        <v>29</v>
      </c>
      <c r="E2" s="20" t="s">
        <v>2657</v>
      </c>
      <c r="F2" s="21" t="s">
        <v>2659</v>
      </c>
      <c r="G2" s="9" t="s">
        <v>26</v>
      </c>
      <c r="H2" s="9" t="s">
        <v>27</v>
      </c>
      <c r="I2" s="9" t="s">
        <v>31</v>
      </c>
      <c r="J2" s="9" t="s">
        <v>32</v>
      </c>
      <c r="K2" s="9" t="s">
        <v>33</v>
      </c>
      <c r="L2" s="9" t="s">
        <v>34</v>
      </c>
      <c r="M2" s="9" t="s">
        <v>35</v>
      </c>
      <c r="N2" s="9" t="s">
        <v>36</v>
      </c>
      <c r="O2" s="9" t="s">
        <v>13</v>
      </c>
      <c r="P2" s="9" t="s">
        <v>37</v>
      </c>
      <c r="Q2" s="9" t="s">
        <v>38</v>
      </c>
      <c r="R2" s="9" t="s">
        <v>39</v>
      </c>
      <c r="S2" s="9" t="s">
        <v>40</v>
      </c>
      <c r="T2" s="9" t="s">
        <v>0</v>
      </c>
      <c r="U2" s="9" t="s">
        <v>1</v>
      </c>
      <c r="V2" s="9" t="s">
        <v>41</v>
      </c>
      <c r="W2" s="9" t="s">
        <v>2</v>
      </c>
      <c r="X2" s="9" t="s">
        <v>3</v>
      </c>
      <c r="Y2" s="9" t="s">
        <v>16</v>
      </c>
      <c r="Z2" s="9" t="s">
        <v>17</v>
      </c>
      <c r="AA2" s="9" t="s">
        <v>42</v>
      </c>
      <c r="AB2" s="9" t="s">
        <v>4</v>
      </c>
      <c r="AC2" s="9" t="s">
        <v>5</v>
      </c>
      <c r="AD2" s="9" t="s">
        <v>18</v>
      </c>
      <c r="AE2" s="9" t="s">
        <v>19</v>
      </c>
    </row>
    <row r="3" spans="1:31" ht="24.75" x14ac:dyDescent="0.25">
      <c r="A3" s="26" t="s">
        <v>2668</v>
      </c>
      <c r="B3" s="27" t="s">
        <v>86</v>
      </c>
      <c r="C3" s="27">
        <f>VLOOKUP(B3,' CIP Codes --'!A1:B2848,2,0)</f>
        <v>1.0102</v>
      </c>
      <c r="D3" s="1"/>
      <c r="E3" s="4"/>
      <c r="F3" s="4"/>
      <c r="G3" s="4"/>
      <c r="H3" s="4"/>
      <c r="I3" s="4"/>
      <c r="J3" s="4"/>
      <c r="K3" s="4"/>
      <c r="L3" s="4"/>
      <c r="M3" s="4"/>
      <c r="N3" s="4"/>
      <c r="O3" s="4"/>
      <c r="P3" s="4"/>
    </row>
    <row r="4" spans="1:31" x14ac:dyDescent="0.25">
      <c r="B4" s="2"/>
      <c r="C4" s="2"/>
      <c r="D4" s="2"/>
      <c r="E4" s="3"/>
      <c r="F4" s="3"/>
      <c r="G4" s="3"/>
      <c r="H4" s="3"/>
      <c r="I4" s="3"/>
      <c r="J4" s="3"/>
      <c r="K4" s="3"/>
      <c r="L4" s="3"/>
      <c r="M4" s="3"/>
      <c r="N4" s="3"/>
      <c r="O4" s="3"/>
      <c r="P4" s="3"/>
      <c r="Q4" s="3"/>
      <c r="R4" s="3"/>
      <c r="S4" s="3"/>
      <c r="T4" s="3"/>
      <c r="U4" s="3"/>
      <c r="V4" s="3"/>
    </row>
    <row r="5" spans="1:31" x14ac:dyDescent="0.25">
      <c r="B5" s="2"/>
      <c r="C5" s="2"/>
      <c r="D5" s="2"/>
      <c r="E5" s="3"/>
      <c r="F5" s="3"/>
      <c r="G5" s="3"/>
      <c r="H5" s="3"/>
      <c r="I5" s="3"/>
      <c r="J5" s="3"/>
      <c r="K5" s="3"/>
      <c r="L5" s="3"/>
      <c r="M5" s="3"/>
      <c r="N5" s="3"/>
      <c r="O5" s="3"/>
      <c r="P5" s="3"/>
      <c r="Q5" s="3"/>
      <c r="R5" s="3"/>
      <c r="S5" s="3"/>
      <c r="T5" s="3"/>
      <c r="U5" s="3"/>
      <c r="V5" s="3"/>
    </row>
    <row r="6" spans="1:31" x14ac:dyDescent="0.25">
      <c r="B6" s="2"/>
      <c r="C6" s="2"/>
      <c r="D6" s="2"/>
      <c r="E6" s="3"/>
      <c r="F6" s="3"/>
      <c r="G6" s="3"/>
      <c r="H6" s="3"/>
      <c r="I6" s="3"/>
      <c r="J6" s="3"/>
      <c r="K6" s="3"/>
      <c r="L6" s="3"/>
      <c r="M6" s="3"/>
      <c r="N6" s="3"/>
      <c r="O6" s="3"/>
      <c r="P6" s="3"/>
      <c r="Q6" s="3"/>
      <c r="R6" s="3"/>
      <c r="S6" s="3"/>
      <c r="T6" s="3"/>
      <c r="U6" s="3"/>
      <c r="V6" s="3"/>
    </row>
    <row r="7" spans="1:31" x14ac:dyDescent="0.25">
      <c r="B7" s="2"/>
      <c r="C7" s="2"/>
      <c r="D7" s="2"/>
      <c r="Q7" s="3"/>
      <c r="R7" s="3"/>
      <c r="S7" s="3"/>
      <c r="T7" s="3"/>
      <c r="U7" s="3"/>
      <c r="V7" s="3"/>
    </row>
  </sheetData>
  <pageMargins left="0.75" right="0.75" top="1" bottom="1" header="0.5" footer="0.5"/>
  <pageSetup orientation="portrait" horizontalDpi="4294967292" verticalDpi="4294967292"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2BD4D8E-5F81-4A60-B69C-52DA0AB3CE9F}">
          <x14:formula1>
            <xm:f>' CIP Codes --'!$A$1:$A$2848</xm:f>
          </x14:formula1>
          <xm:sqref>B3</xm:sqref>
        </x14:dataValidation>
        <x14:dataValidation type="list" allowBlank="1" prompt="If you are unable to find your school, double click on the cell to type it in." xr:uid="{3A213610-4DB3-4B9B-9530-CAE71810A644}">
          <x14:formula1>
            <xm:f>'Higher Education Institutions'!$A:$A</xm:f>
          </x14:formula1>
          <xm:sqref>A3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14"/>
  <sheetViews>
    <sheetView workbookViewId="0">
      <selection activeCell="A4" sqref="A4"/>
    </sheetView>
  </sheetViews>
  <sheetFormatPr defaultColWidth="11" defaultRowHeight="15.75" x14ac:dyDescent="0.25"/>
  <cols>
    <col min="1" max="1" width="8.75" bestFit="1" customWidth="1"/>
    <col min="2" max="2" width="35" customWidth="1"/>
    <col min="3" max="3" width="25" customWidth="1"/>
    <col min="4" max="4" width="10" customWidth="1"/>
    <col min="5" max="5" width="10.5" customWidth="1"/>
    <col min="6" max="7" width="8.625" customWidth="1"/>
    <col min="8" max="9" width="10.125" customWidth="1"/>
    <col min="10" max="10" width="11.375" customWidth="1"/>
    <col min="11" max="11" width="11.875" customWidth="1"/>
    <col min="12" max="18" width="8.625" customWidth="1"/>
    <col min="19" max="19" width="9.375" customWidth="1"/>
    <col min="20" max="32" width="8.625" customWidth="1"/>
  </cols>
  <sheetData>
    <row r="1" spans="1:32" x14ac:dyDescent="0.25">
      <c r="A1" t="s">
        <v>14956</v>
      </c>
    </row>
    <row r="2" spans="1:32" s="8" customFormat="1" ht="51" x14ac:dyDescent="0.2">
      <c r="A2" s="9" t="s">
        <v>8820</v>
      </c>
      <c r="B2" s="9" t="s">
        <v>59</v>
      </c>
      <c r="C2" s="9" t="s">
        <v>30</v>
      </c>
      <c r="D2" s="9" t="s">
        <v>77</v>
      </c>
      <c r="E2" s="9" t="s">
        <v>29</v>
      </c>
      <c r="F2" s="9" t="s">
        <v>14957</v>
      </c>
      <c r="G2" s="9" t="s">
        <v>14958</v>
      </c>
      <c r="H2" s="9" t="s">
        <v>26</v>
      </c>
      <c r="I2" s="9" t="s">
        <v>27</v>
      </c>
      <c r="J2" s="9" t="s">
        <v>31</v>
      </c>
      <c r="K2" s="9" t="s">
        <v>32</v>
      </c>
      <c r="L2" s="9" t="s">
        <v>33</v>
      </c>
      <c r="M2" s="9" t="s">
        <v>34</v>
      </c>
      <c r="N2" s="9" t="s">
        <v>35</v>
      </c>
      <c r="O2" s="9" t="s">
        <v>36</v>
      </c>
      <c r="P2" s="9" t="s">
        <v>13</v>
      </c>
      <c r="Q2" s="9" t="s">
        <v>37</v>
      </c>
      <c r="R2" s="9" t="s">
        <v>38</v>
      </c>
      <c r="S2" s="9" t="s">
        <v>39</v>
      </c>
      <c r="T2" s="9" t="s">
        <v>40</v>
      </c>
      <c r="U2" s="9" t="s">
        <v>0</v>
      </c>
      <c r="V2" s="9" t="s">
        <v>1</v>
      </c>
      <c r="W2" s="9" t="s">
        <v>41</v>
      </c>
      <c r="X2" s="9" t="s">
        <v>2</v>
      </c>
      <c r="Y2" s="9" t="s">
        <v>3</v>
      </c>
      <c r="Z2" s="9" t="s">
        <v>16</v>
      </c>
      <c r="AA2" s="9" t="s">
        <v>17</v>
      </c>
      <c r="AB2" s="9" t="s">
        <v>42</v>
      </c>
      <c r="AC2" s="9" t="s">
        <v>4</v>
      </c>
      <c r="AD2" s="9" t="s">
        <v>5</v>
      </c>
      <c r="AE2" s="9" t="s">
        <v>18</v>
      </c>
      <c r="AF2" s="9" t="s">
        <v>19</v>
      </c>
    </row>
    <row r="3" spans="1:32" ht="39" customHeight="1" x14ac:dyDescent="0.25">
      <c r="A3" s="28" t="e">
        <f>VLOOKUP(B3,School_List[],2,0)</f>
        <v>#N/A</v>
      </c>
      <c r="B3" s="28" t="s">
        <v>14952</v>
      </c>
      <c r="C3" s="28" t="s">
        <v>14953</v>
      </c>
      <c r="D3" s="29" t="e">
        <f>VLOOKUP(C3,' CIP Codes --'!A2:J2849,9,0)</f>
        <v>#N/A</v>
      </c>
      <c r="E3" s="1"/>
      <c r="F3" s="4"/>
      <c r="G3" s="4"/>
      <c r="H3" s="4"/>
      <c r="I3" s="4"/>
      <c r="J3" s="4"/>
      <c r="K3" s="4"/>
      <c r="L3" s="4"/>
      <c r="M3" s="4"/>
      <c r="N3" s="4"/>
      <c r="O3" s="4"/>
      <c r="P3" s="4"/>
      <c r="Q3" s="4"/>
    </row>
    <row r="4" spans="1:32" x14ac:dyDescent="0.25">
      <c r="A4" s="17"/>
      <c r="C4" s="2"/>
      <c r="D4" s="2"/>
      <c r="E4" s="2"/>
      <c r="F4" s="3"/>
      <c r="G4" s="3"/>
      <c r="H4" s="3"/>
      <c r="I4" s="3"/>
      <c r="J4" s="3"/>
      <c r="K4" s="3"/>
      <c r="L4" s="3"/>
      <c r="M4" s="3"/>
      <c r="N4" s="3"/>
      <c r="O4" s="3"/>
      <c r="P4" s="3"/>
      <c r="Q4" s="3"/>
      <c r="R4" s="3"/>
      <c r="S4" s="3"/>
      <c r="T4" s="3"/>
      <c r="U4" s="3"/>
      <c r="V4" s="3"/>
      <c r="W4" s="3"/>
    </row>
    <row r="5" spans="1:32" x14ac:dyDescent="0.25">
      <c r="A5" s="17"/>
      <c r="C5" s="2"/>
      <c r="D5" s="2"/>
      <c r="E5" s="2"/>
      <c r="F5" s="3"/>
      <c r="G5" s="3"/>
      <c r="H5" s="3"/>
      <c r="I5" s="3"/>
      <c r="J5" s="3"/>
      <c r="K5" s="3"/>
      <c r="L5" s="3"/>
      <c r="M5" s="3"/>
      <c r="N5" s="3"/>
      <c r="O5" s="3"/>
      <c r="P5" s="3"/>
      <c r="Q5" s="3"/>
      <c r="R5" s="3"/>
      <c r="S5" s="3"/>
      <c r="T5" s="3"/>
      <c r="U5" s="3"/>
      <c r="V5" s="3"/>
      <c r="W5" s="3"/>
    </row>
    <row r="6" spans="1:32" x14ac:dyDescent="0.25">
      <c r="A6" s="17"/>
      <c r="C6" s="2"/>
      <c r="D6" s="2"/>
      <c r="E6" s="2"/>
      <c r="F6" s="3"/>
      <c r="G6" s="3"/>
      <c r="H6" s="3"/>
      <c r="I6" s="3"/>
      <c r="J6" s="3"/>
      <c r="K6" s="3"/>
      <c r="L6" s="3"/>
      <c r="M6" s="3"/>
      <c r="N6" s="3"/>
      <c r="O6" s="3"/>
      <c r="P6" s="3"/>
      <c r="Q6" s="3"/>
      <c r="R6" s="3"/>
      <c r="S6" s="3"/>
      <c r="T6" s="3"/>
      <c r="U6" s="3"/>
      <c r="V6" s="3"/>
      <c r="W6" s="3"/>
    </row>
    <row r="7" spans="1:32" x14ac:dyDescent="0.25">
      <c r="A7" s="17"/>
      <c r="C7" s="2"/>
      <c r="D7" s="2"/>
      <c r="E7" s="2"/>
      <c r="R7" s="3"/>
      <c r="S7" s="3"/>
      <c r="T7" s="3"/>
      <c r="U7" s="3"/>
      <c r="V7" s="3"/>
      <c r="W7" s="3"/>
    </row>
    <row r="8" spans="1:32" x14ac:dyDescent="0.25">
      <c r="A8" s="17"/>
    </row>
    <row r="9" spans="1:32" x14ac:dyDescent="0.25">
      <c r="A9" s="17"/>
    </row>
    <row r="10" spans="1:32" x14ac:dyDescent="0.25">
      <c r="A10" s="17"/>
    </row>
    <row r="11" spans="1:32" x14ac:dyDescent="0.25">
      <c r="A11" s="17"/>
    </row>
    <row r="12" spans="1:32" x14ac:dyDescent="0.25">
      <c r="A12" s="17"/>
    </row>
    <row r="13" spans="1:32" x14ac:dyDescent="0.25">
      <c r="A13" s="17"/>
    </row>
    <row r="14" spans="1:32" x14ac:dyDescent="0.25">
      <c r="A14" s="17"/>
    </row>
  </sheetData>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prompt="If you are unable to find your school, double click on the cell to type it in." xr:uid="{E1F83411-4D6C-4CE0-9A41-E80D0B3976F8}">
          <x14:formula1>
            <xm:f>'Higher Education Institutions'!$A:$A</xm:f>
          </x14:formula1>
          <xm:sqref>B3</xm:sqref>
        </x14:dataValidation>
        <x14:dataValidation type="list" allowBlank="1" prompt="If you are unable to find your school, double click on the cell to type it in." xr:uid="{0CB0AE84-FD4C-4858-B4CF-B71E35F22F41}">
          <x14:formula1>
            <xm:f>' CIP Codes --'!$A$1:$A$2848</xm:f>
          </x14:formula1>
          <xm:sqref>C3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14"/>
  <sheetViews>
    <sheetView workbookViewId="0">
      <selection activeCell="A4" sqref="A4"/>
    </sheetView>
  </sheetViews>
  <sheetFormatPr defaultColWidth="11" defaultRowHeight="15.75" x14ac:dyDescent="0.25"/>
  <cols>
    <col min="1" max="1" width="8.75" bestFit="1" customWidth="1"/>
    <col min="2" max="2" width="35" customWidth="1"/>
    <col min="3" max="3" width="25" customWidth="1"/>
    <col min="4" max="4" width="10" customWidth="1"/>
    <col min="5" max="5" width="10.5" customWidth="1"/>
    <col min="6" max="7" width="8.625" customWidth="1"/>
    <col min="8" max="9" width="10.125" customWidth="1"/>
    <col min="10" max="10" width="11.375" customWidth="1"/>
    <col min="11" max="11" width="11.875" customWidth="1"/>
    <col min="12" max="18" width="8.625" customWidth="1"/>
    <col min="19" max="19" width="9.375" customWidth="1"/>
    <col min="20" max="30" width="8.625" customWidth="1"/>
  </cols>
  <sheetData>
    <row r="1" spans="1:30" x14ac:dyDescent="0.25">
      <c r="A1" t="s">
        <v>14954</v>
      </c>
    </row>
    <row r="2" spans="1:30" s="8" customFormat="1" ht="51" x14ac:dyDescent="0.2">
      <c r="A2" s="9" t="s">
        <v>8820</v>
      </c>
      <c r="B2" s="9" t="s">
        <v>59</v>
      </c>
      <c r="C2" s="9" t="s">
        <v>30</v>
      </c>
      <c r="D2" s="9" t="s">
        <v>77</v>
      </c>
      <c r="E2" s="9" t="s">
        <v>29</v>
      </c>
      <c r="F2" s="9" t="s">
        <v>14957</v>
      </c>
      <c r="G2" s="9" t="s">
        <v>14958</v>
      </c>
      <c r="H2" s="9" t="s">
        <v>51</v>
      </c>
      <c r="I2" s="9" t="s">
        <v>50</v>
      </c>
      <c r="J2" s="9" t="s">
        <v>26</v>
      </c>
      <c r="K2" s="9" t="s">
        <v>27</v>
      </c>
      <c r="L2" s="9" t="s">
        <v>31</v>
      </c>
      <c r="M2" s="9" t="s">
        <v>32</v>
      </c>
      <c r="N2" s="9" t="s">
        <v>33</v>
      </c>
      <c r="O2" s="9" t="s">
        <v>34</v>
      </c>
      <c r="P2" s="9" t="s">
        <v>35</v>
      </c>
      <c r="Q2" s="9" t="s">
        <v>36</v>
      </c>
      <c r="R2" s="9" t="s">
        <v>13</v>
      </c>
      <c r="S2" s="9" t="s">
        <v>37</v>
      </c>
      <c r="T2" s="9" t="s">
        <v>38</v>
      </c>
      <c r="U2" s="9" t="s">
        <v>39</v>
      </c>
      <c r="V2" s="9" t="s">
        <v>40</v>
      </c>
      <c r="W2" s="9" t="s">
        <v>0</v>
      </c>
      <c r="X2" s="9" t="s">
        <v>1</v>
      </c>
      <c r="Y2" s="9" t="s">
        <v>41</v>
      </c>
      <c r="Z2" s="9" t="s">
        <v>2</v>
      </c>
      <c r="AA2" s="9" t="s">
        <v>3</v>
      </c>
      <c r="AB2" s="9" t="s">
        <v>42</v>
      </c>
      <c r="AC2" s="9" t="s">
        <v>4</v>
      </c>
      <c r="AD2" s="9" t="s">
        <v>5</v>
      </c>
    </row>
    <row r="3" spans="1:30" ht="39" customHeight="1" x14ac:dyDescent="0.25">
      <c r="A3" s="30" t="e">
        <f>VLOOKUP(B3,School_List[],2,0)</f>
        <v>#N/A</v>
      </c>
      <c r="B3" s="28" t="s">
        <v>14952</v>
      </c>
      <c r="C3" s="28" t="s">
        <v>14953</v>
      </c>
      <c r="D3" s="29" t="e">
        <f>VLOOKUP(C3,' CIP Codes --'!A2:J2849,9,0)</f>
        <v>#N/A</v>
      </c>
      <c r="E3" s="1"/>
      <c r="F3" s="4"/>
      <c r="G3" s="4"/>
      <c r="H3" s="4"/>
      <c r="I3" s="4"/>
      <c r="J3" s="4"/>
      <c r="K3" s="4"/>
      <c r="L3" s="4"/>
      <c r="M3" s="4"/>
      <c r="N3" s="4"/>
      <c r="O3" s="4"/>
      <c r="P3" s="4"/>
      <c r="Q3" s="4"/>
    </row>
    <row r="4" spans="1:30" x14ac:dyDescent="0.25">
      <c r="A4" s="17"/>
      <c r="C4" s="2"/>
      <c r="D4" s="2"/>
      <c r="E4" s="2"/>
      <c r="F4" s="3"/>
      <c r="G4" s="3"/>
      <c r="H4" s="3"/>
      <c r="I4" s="3"/>
      <c r="J4" s="3"/>
      <c r="K4" s="3"/>
      <c r="L4" s="3"/>
      <c r="M4" s="3"/>
      <c r="N4" s="3"/>
      <c r="O4" s="3"/>
      <c r="P4" s="3"/>
      <c r="Q4" s="3"/>
      <c r="R4" s="3"/>
      <c r="S4" s="3"/>
      <c r="T4" s="3"/>
      <c r="U4" s="3"/>
      <c r="V4" s="3"/>
      <c r="W4" s="3"/>
    </row>
    <row r="5" spans="1:30" x14ac:dyDescent="0.25">
      <c r="A5" s="17"/>
      <c r="C5" s="2"/>
      <c r="D5" s="2"/>
      <c r="E5" s="2"/>
      <c r="F5" s="3"/>
      <c r="G5" s="3"/>
      <c r="H5" s="3"/>
      <c r="I5" s="3"/>
      <c r="J5" s="3"/>
      <c r="K5" s="3"/>
      <c r="L5" s="3"/>
      <c r="M5" s="3"/>
      <c r="N5" s="3"/>
      <c r="O5" s="3"/>
      <c r="P5" s="3"/>
      <c r="Q5" s="3"/>
      <c r="R5" s="3"/>
      <c r="S5" s="3"/>
      <c r="T5" s="3"/>
      <c r="U5" s="3"/>
      <c r="V5" s="3"/>
      <c r="W5" s="3"/>
    </row>
    <row r="6" spans="1:30" x14ac:dyDescent="0.25">
      <c r="A6" s="17"/>
      <c r="C6" s="2"/>
      <c r="D6" s="2"/>
      <c r="E6" s="2"/>
      <c r="F6" s="3"/>
      <c r="G6" s="3"/>
      <c r="H6" s="3"/>
      <c r="I6" s="3"/>
      <c r="J6" s="3"/>
      <c r="K6" s="3"/>
      <c r="L6" s="3"/>
      <c r="M6" s="3"/>
      <c r="N6" s="3"/>
      <c r="O6" s="3"/>
      <c r="P6" s="3"/>
      <c r="Q6" s="3"/>
      <c r="R6" s="3"/>
      <c r="S6" s="3"/>
      <c r="T6" s="3"/>
      <c r="U6" s="3"/>
      <c r="V6" s="3"/>
      <c r="W6" s="3"/>
    </row>
    <row r="7" spans="1:30" x14ac:dyDescent="0.25">
      <c r="A7" s="17"/>
      <c r="C7" s="2"/>
      <c r="D7" s="2"/>
      <c r="E7" s="2"/>
      <c r="R7" s="3"/>
      <c r="S7" s="3"/>
      <c r="T7" s="3"/>
      <c r="U7" s="3"/>
      <c r="V7" s="3"/>
      <c r="W7" s="3"/>
    </row>
    <row r="8" spans="1:30" x14ac:dyDescent="0.25">
      <c r="A8" s="17"/>
    </row>
    <row r="9" spans="1:30" x14ac:dyDescent="0.25">
      <c r="A9" s="17"/>
    </row>
    <row r="10" spans="1:30" x14ac:dyDescent="0.25">
      <c r="A10" s="17"/>
    </row>
    <row r="11" spans="1:30" x14ac:dyDescent="0.25">
      <c r="A11" s="17"/>
    </row>
    <row r="12" spans="1:30" x14ac:dyDescent="0.25">
      <c r="A12" s="17"/>
    </row>
    <row r="13" spans="1:30" x14ac:dyDescent="0.25">
      <c r="A13" s="17"/>
    </row>
    <row r="14" spans="1:30" x14ac:dyDescent="0.25">
      <c r="A14" s="17"/>
    </row>
  </sheetData>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prompt="If you are unable to find your school, double click on the cell to type it in." xr:uid="{867ADF56-F9B2-4553-86E0-5B6E3A67F1AF}">
          <x14:formula1>
            <xm:f>'Higher Education Institutions'!$A:$A</xm:f>
          </x14:formula1>
          <xm:sqref>B3</xm:sqref>
        </x14:dataValidation>
        <x14:dataValidation type="list" allowBlank="1" prompt="If you are unable to find your school, double click on the cell to type it in." xr:uid="{4D0DCB5F-09B6-4301-980F-993136B00146}">
          <x14:formula1>
            <xm:f>' CIP Codes --'!$A$1:$A$2848</xm:f>
          </x14:formula1>
          <xm:sqref>C3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14"/>
  <sheetViews>
    <sheetView zoomScaleNormal="100" workbookViewId="0">
      <selection activeCell="A4" sqref="A4"/>
    </sheetView>
  </sheetViews>
  <sheetFormatPr defaultColWidth="11" defaultRowHeight="15.75" x14ac:dyDescent="0.25"/>
  <cols>
    <col min="1" max="1" width="8.75" bestFit="1" customWidth="1"/>
    <col min="2" max="2" width="35" customWidth="1"/>
    <col min="3" max="3" width="25" customWidth="1"/>
    <col min="4" max="4" width="10" customWidth="1"/>
    <col min="5" max="5" width="10.5" customWidth="1"/>
    <col min="6" max="7" width="8.625" customWidth="1"/>
    <col min="8" max="9" width="10.125" customWidth="1"/>
    <col min="10" max="10" width="11.375" customWidth="1"/>
    <col min="11" max="11" width="11.875" customWidth="1"/>
    <col min="12" max="15" width="8.625" customWidth="1"/>
    <col min="16" max="17" width="9.5" customWidth="1"/>
    <col min="18" max="18" width="8.625" customWidth="1"/>
    <col min="19" max="19" width="9.375" customWidth="1"/>
    <col min="20" max="30" width="8.625" customWidth="1"/>
  </cols>
  <sheetData>
    <row r="1" spans="1:30" x14ac:dyDescent="0.25">
      <c r="A1" t="s">
        <v>58</v>
      </c>
    </row>
    <row r="2" spans="1:30" s="8" customFormat="1" ht="51" customHeight="1" x14ac:dyDescent="0.2">
      <c r="A2" s="9" t="s">
        <v>8820</v>
      </c>
      <c r="B2" s="9" t="s">
        <v>59</v>
      </c>
      <c r="C2" s="9" t="s">
        <v>30</v>
      </c>
      <c r="D2" s="9" t="s">
        <v>77</v>
      </c>
      <c r="E2" s="9" t="s">
        <v>29</v>
      </c>
      <c r="F2" s="9" t="s">
        <v>14957</v>
      </c>
      <c r="G2" s="9" t="s">
        <v>14958</v>
      </c>
      <c r="H2" s="9" t="s">
        <v>51</v>
      </c>
      <c r="I2" s="9" t="s">
        <v>50</v>
      </c>
      <c r="J2" s="9" t="s">
        <v>26</v>
      </c>
      <c r="K2" s="9" t="s">
        <v>27</v>
      </c>
      <c r="L2" s="9" t="s">
        <v>31</v>
      </c>
      <c r="M2" s="9" t="s">
        <v>32</v>
      </c>
      <c r="N2" s="9" t="s">
        <v>33</v>
      </c>
      <c r="O2" s="9" t="s">
        <v>34</v>
      </c>
      <c r="P2" s="9" t="s">
        <v>48</v>
      </c>
      <c r="Q2" s="9" t="s">
        <v>49</v>
      </c>
      <c r="R2" s="9" t="s">
        <v>13</v>
      </c>
      <c r="S2" s="9" t="s">
        <v>37</v>
      </c>
      <c r="T2" s="9" t="s">
        <v>38</v>
      </c>
      <c r="U2" s="9" t="s">
        <v>39</v>
      </c>
      <c r="V2" s="9" t="s">
        <v>40</v>
      </c>
      <c r="W2" s="9" t="s">
        <v>0</v>
      </c>
      <c r="X2" s="9" t="s">
        <v>1</v>
      </c>
      <c r="Y2" s="9" t="s">
        <v>41</v>
      </c>
      <c r="Z2" s="9" t="s">
        <v>2</v>
      </c>
      <c r="AA2" s="9" t="s">
        <v>3</v>
      </c>
      <c r="AB2" s="9" t="s">
        <v>42</v>
      </c>
      <c r="AC2" s="9" t="s">
        <v>4</v>
      </c>
      <c r="AD2" s="9" t="s">
        <v>5</v>
      </c>
    </row>
    <row r="3" spans="1:30" ht="39" customHeight="1" x14ac:dyDescent="0.25">
      <c r="A3" s="30" t="e">
        <f>VLOOKUP(B3,School_List[],2,0)</f>
        <v>#N/A</v>
      </c>
      <c r="B3" s="28" t="s">
        <v>14952</v>
      </c>
      <c r="C3" s="28" t="s">
        <v>14953</v>
      </c>
      <c r="D3" s="29" t="e">
        <f>VLOOKUP(C3,' CIP Codes --'!A2:J2849,9,0)</f>
        <v>#N/A</v>
      </c>
      <c r="E3" s="1"/>
      <c r="F3" s="4"/>
      <c r="G3" s="4"/>
      <c r="H3" s="4"/>
      <c r="I3" s="4"/>
      <c r="J3" s="4"/>
      <c r="K3" s="4"/>
      <c r="L3" s="4"/>
      <c r="M3" s="4"/>
      <c r="N3" s="4"/>
      <c r="O3" s="4"/>
      <c r="P3" s="4"/>
      <c r="Q3" s="4"/>
    </row>
    <row r="4" spans="1:30" x14ac:dyDescent="0.25">
      <c r="A4" s="17"/>
      <c r="C4" s="2"/>
      <c r="D4" s="2"/>
      <c r="E4" s="2"/>
      <c r="F4" s="3"/>
      <c r="G4" s="3"/>
      <c r="H4" s="3"/>
      <c r="I4" s="3"/>
      <c r="J4" s="3"/>
      <c r="K4" s="3"/>
      <c r="L4" s="3"/>
      <c r="M4" s="3"/>
      <c r="N4" s="3"/>
      <c r="O4" s="3"/>
      <c r="P4" s="3"/>
      <c r="Q4" s="3"/>
      <c r="R4" s="3"/>
      <c r="S4" s="3"/>
      <c r="T4" s="3"/>
      <c r="U4" s="3"/>
      <c r="V4" s="3"/>
      <c r="W4" s="3"/>
    </row>
    <row r="5" spans="1:30" x14ac:dyDescent="0.25">
      <c r="A5" s="17"/>
      <c r="C5" s="2"/>
      <c r="D5" s="2"/>
      <c r="E5" s="2"/>
      <c r="F5" s="3"/>
      <c r="G5" s="3"/>
      <c r="H5" s="3"/>
      <c r="I5" s="3"/>
      <c r="J5" s="3"/>
      <c r="K5" s="3"/>
      <c r="L5" s="3"/>
      <c r="M5" s="3"/>
      <c r="N5" s="3"/>
      <c r="O5" s="3"/>
      <c r="P5" s="3"/>
      <c r="Q5" s="3"/>
      <c r="R5" s="3"/>
      <c r="S5" s="3"/>
      <c r="T5" s="3"/>
      <c r="U5" s="3"/>
      <c r="V5" s="3"/>
      <c r="W5" s="3"/>
    </row>
    <row r="6" spans="1:30" x14ac:dyDescent="0.25">
      <c r="A6" s="17"/>
      <c r="C6" s="2"/>
      <c r="D6" s="2"/>
      <c r="E6" s="2"/>
      <c r="F6" s="3"/>
      <c r="G6" s="3"/>
      <c r="H6" s="3"/>
      <c r="I6" s="3"/>
      <c r="J6" s="3"/>
      <c r="K6" s="3"/>
      <c r="L6" s="3"/>
      <c r="M6" s="3"/>
      <c r="N6" s="3"/>
      <c r="O6" s="3"/>
      <c r="P6" s="3"/>
      <c r="Q6" s="3"/>
      <c r="R6" s="3"/>
      <c r="S6" s="3"/>
      <c r="T6" s="3"/>
      <c r="U6" s="3"/>
      <c r="V6" s="3"/>
      <c r="W6" s="3"/>
    </row>
    <row r="7" spans="1:30" x14ac:dyDescent="0.25">
      <c r="A7" s="17"/>
      <c r="C7" s="2"/>
      <c r="D7" s="2"/>
      <c r="E7" s="2"/>
      <c r="R7" s="3"/>
      <c r="S7" s="3"/>
      <c r="T7" s="3"/>
      <c r="U7" s="3"/>
      <c r="V7" s="3"/>
      <c r="W7" s="3"/>
    </row>
    <row r="8" spans="1:30" x14ac:dyDescent="0.25">
      <c r="A8" s="17"/>
    </row>
    <row r="9" spans="1:30" x14ac:dyDescent="0.25">
      <c r="A9" s="17"/>
    </row>
    <row r="10" spans="1:30" x14ac:dyDescent="0.25">
      <c r="A10" s="17"/>
    </row>
    <row r="11" spans="1:30" x14ac:dyDescent="0.25">
      <c r="A11" s="17"/>
    </row>
    <row r="12" spans="1:30" x14ac:dyDescent="0.25">
      <c r="A12" s="17"/>
    </row>
    <row r="13" spans="1:30" x14ac:dyDescent="0.25">
      <c r="A13" s="17"/>
    </row>
    <row r="14" spans="1:30" x14ac:dyDescent="0.25">
      <c r="A14" s="17"/>
    </row>
  </sheetData>
  <dataValidations count="1">
    <dataValidation allowBlank="1" showInputMessage="1" sqref="E8" xr:uid="{5BC9F6B6-41C0-4B8F-9A0B-F3159DBB51AC}"/>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prompt="If you are unable to find your school, double click on the cell to type it in." xr:uid="{3DDE8644-EC8C-4393-B580-5AED853F234B}">
          <x14:formula1>
            <xm:f>'Higher Education Institutions'!$A:$A</xm:f>
          </x14:formula1>
          <xm:sqref>B3</xm:sqref>
        </x14:dataValidation>
        <x14:dataValidation type="list" allowBlank="1" prompt="If you are unable to find your school, double click on the cell to type it in." xr:uid="{8E6B91F2-2221-47D0-9788-60E77A72688F}">
          <x14:formula1>
            <xm:f>' CIP Codes --'!$A$1:$A$2848</xm:f>
          </x14:formula1>
          <xm:sqref>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31"/>
  <sheetViews>
    <sheetView workbookViewId="0">
      <selection activeCell="C1" sqref="C1"/>
    </sheetView>
  </sheetViews>
  <sheetFormatPr defaultColWidth="11" defaultRowHeight="15.75" x14ac:dyDescent="0.25"/>
  <cols>
    <col min="1" max="1" width="23" customWidth="1"/>
    <col min="2" max="2" width="106.375" customWidth="1"/>
  </cols>
  <sheetData>
    <row r="1" spans="1:4" s="5" customFormat="1" x14ac:dyDescent="0.25">
      <c r="A1" s="5" t="s">
        <v>9</v>
      </c>
      <c r="B1" s="5" t="s">
        <v>10</v>
      </c>
    </row>
    <row r="3" spans="1:4" ht="63" x14ac:dyDescent="0.25">
      <c r="A3" t="s">
        <v>78</v>
      </c>
      <c r="B3" s="7" t="s">
        <v>79</v>
      </c>
      <c r="D3" s="16"/>
    </row>
    <row r="4" spans="1:4" x14ac:dyDescent="0.25">
      <c r="A4" t="s">
        <v>59</v>
      </c>
      <c r="B4" s="7" t="s">
        <v>2656</v>
      </c>
      <c r="D4" s="48"/>
    </row>
    <row r="5" spans="1:4" x14ac:dyDescent="0.25">
      <c r="A5" t="s">
        <v>29</v>
      </c>
      <c r="B5" t="s">
        <v>43</v>
      </c>
    </row>
    <row r="6" spans="1:4" ht="47.25" x14ac:dyDescent="0.25">
      <c r="A6" t="s">
        <v>14957</v>
      </c>
      <c r="B6" s="7" t="s">
        <v>2658</v>
      </c>
    </row>
    <row r="7" spans="1:4" ht="47.25" x14ac:dyDescent="0.25">
      <c r="A7" t="s">
        <v>14958</v>
      </c>
      <c r="B7" s="7" t="s">
        <v>2660</v>
      </c>
    </row>
    <row r="8" spans="1:4" ht="31.5" x14ac:dyDescent="0.25">
      <c r="A8" t="s">
        <v>51</v>
      </c>
      <c r="B8" s="7" t="s">
        <v>2647</v>
      </c>
    </row>
    <row r="9" spans="1:4" ht="47.25" x14ac:dyDescent="0.25">
      <c r="A9" t="s">
        <v>50</v>
      </c>
      <c r="B9" s="7" t="s">
        <v>2648</v>
      </c>
    </row>
    <row r="10" spans="1:4" ht="31.5" x14ac:dyDescent="0.25">
      <c r="A10" t="s">
        <v>26</v>
      </c>
      <c r="B10" s="7" t="s">
        <v>2654</v>
      </c>
    </row>
    <row r="11" spans="1:4" ht="31.5" x14ac:dyDescent="0.25">
      <c r="A11" t="s">
        <v>27</v>
      </c>
      <c r="B11" s="7" t="s">
        <v>2655</v>
      </c>
    </row>
    <row r="12" spans="1:4" ht="47.25" x14ac:dyDescent="0.25">
      <c r="A12" t="s">
        <v>31</v>
      </c>
      <c r="B12" s="7" t="s">
        <v>45</v>
      </c>
    </row>
    <row r="13" spans="1:4" ht="47.25" x14ac:dyDescent="0.25">
      <c r="A13" t="s">
        <v>32</v>
      </c>
      <c r="B13" s="7" t="s">
        <v>44</v>
      </c>
    </row>
    <row r="14" spans="1:4" ht="31.5" x14ac:dyDescent="0.25">
      <c r="A14" t="s">
        <v>33</v>
      </c>
      <c r="B14" s="7" t="s">
        <v>46</v>
      </c>
    </row>
    <row r="15" spans="1:4" ht="31.5" x14ac:dyDescent="0.25">
      <c r="A15" t="s">
        <v>34</v>
      </c>
      <c r="B15" s="7" t="s">
        <v>47</v>
      </c>
    </row>
    <row r="16" spans="1:4" ht="31.5" x14ac:dyDescent="0.25">
      <c r="A16" s="7" t="s">
        <v>2649</v>
      </c>
      <c r="B16" s="7" t="s">
        <v>2652</v>
      </c>
    </row>
    <row r="17" spans="1:2" ht="31.5" x14ac:dyDescent="0.25">
      <c r="A17" s="7" t="s">
        <v>2650</v>
      </c>
      <c r="B17" s="7" t="s">
        <v>2651</v>
      </c>
    </row>
    <row r="18" spans="1:2" x14ac:dyDescent="0.25">
      <c r="A18" t="s">
        <v>28</v>
      </c>
      <c r="B18" t="s">
        <v>52</v>
      </c>
    </row>
    <row r="19" spans="1:2" x14ac:dyDescent="0.25">
      <c r="A19" t="s">
        <v>53</v>
      </c>
      <c r="B19" t="s">
        <v>14</v>
      </c>
    </row>
    <row r="20" spans="1:2" x14ac:dyDescent="0.25">
      <c r="A20" t="s">
        <v>38</v>
      </c>
      <c r="B20" t="s">
        <v>54</v>
      </c>
    </row>
    <row r="21" spans="1:2" ht="31.5" x14ac:dyDescent="0.25">
      <c r="A21" t="s">
        <v>39</v>
      </c>
      <c r="B21" s="7" t="s">
        <v>55</v>
      </c>
    </row>
    <row r="22" spans="1:2" ht="31.5" x14ac:dyDescent="0.25">
      <c r="A22" s="7" t="s">
        <v>40</v>
      </c>
      <c r="B22" s="7" t="s">
        <v>56</v>
      </c>
    </row>
    <row r="23" spans="1:2" x14ac:dyDescent="0.25">
      <c r="A23" t="s">
        <v>11</v>
      </c>
      <c r="B23" t="s">
        <v>12</v>
      </c>
    </row>
    <row r="24" spans="1:2" x14ac:dyDescent="0.25">
      <c r="A24" t="s">
        <v>1</v>
      </c>
      <c r="B24" t="s">
        <v>15</v>
      </c>
    </row>
    <row r="25" spans="1:2" x14ac:dyDescent="0.25">
      <c r="A25" t="s">
        <v>6</v>
      </c>
      <c r="B25" t="s">
        <v>20</v>
      </c>
    </row>
    <row r="26" spans="1:2" x14ac:dyDescent="0.25">
      <c r="A26" t="s">
        <v>7</v>
      </c>
      <c r="B26" t="s">
        <v>21</v>
      </c>
    </row>
    <row r="27" spans="1:2" x14ac:dyDescent="0.25">
      <c r="A27" t="s">
        <v>2</v>
      </c>
      <c r="B27" t="s">
        <v>22</v>
      </c>
    </row>
    <row r="28" spans="1:2" x14ac:dyDescent="0.25">
      <c r="A28" t="s">
        <v>3</v>
      </c>
      <c r="B28" t="s">
        <v>23</v>
      </c>
    </row>
    <row r="29" spans="1:2" x14ac:dyDescent="0.25">
      <c r="A29" t="s">
        <v>8</v>
      </c>
      <c r="B29" t="s">
        <v>2653</v>
      </c>
    </row>
    <row r="30" spans="1:2" x14ac:dyDescent="0.25">
      <c r="A30" t="s">
        <v>4</v>
      </c>
      <c r="B30" t="s">
        <v>24</v>
      </c>
    </row>
    <row r="31" spans="1:2" x14ac:dyDescent="0.25">
      <c r="A31" t="s">
        <v>5</v>
      </c>
      <c r="B31" t="s">
        <v>25</v>
      </c>
    </row>
  </sheetData>
  <pageMargins left="0.75" right="0.75" top="1" bottom="1" header="0.5" footer="0.5"/>
  <pageSetup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4AAA3-DB75-4A1D-A460-350C49A374F3}">
  <dimension ref="A1:J2849"/>
  <sheetViews>
    <sheetView workbookViewId="0">
      <selection activeCell="C9" sqref="A9:XFD9"/>
    </sheetView>
  </sheetViews>
  <sheetFormatPr defaultRowHeight="15.75" x14ac:dyDescent="0.25"/>
  <cols>
    <col min="1" max="1" width="40.125" style="31" customWidth="1"/>
    <col min="2" max="2" width="9.25" style="31" customWidth="1"/>
    <col min="3" max="3" width="11.625" style="32" customWidth="1"/>
    <col min="4" max="4" width="10" style="31" customWidth="1"/>
    <col min="5" max="5" width="45.875" style="33" bestFit="1" customWidth="1"/>
    <col min="6" max="6" width="14.875" style="34" customWidth="1"/>
    <col min="7" max="7" width="41.125" style="34" customWidth="1"/>
    <col min="8" max="8" width="53.75" style="34" customWidth="1"/>
    <col min="9" max="9" width="17.625" style="35" customWidth="1"/>
    <col min="10" max="10" width="40.125" style="36" customWidth="1"/>
  </cols>
  <sheetData>
    <row r="1" spans="1:10" x14ac:dyDescent="0.25">
      <c r="A1" s="31" t="s">
        <v>82</v>
      </c>
      <c r="B1" s="31" t="s">
        <v>9234</v>
      </c>
      <c r="C1" s="32" t="s">
        <v>81</v>
      </c>
      <c r="D1" s="31" t="s">
        <v>80</v>
      </c>
      <c r="E1" s="33" t="s">
        <v>9235</v>
      </c>
      <c r="F1" s="37" t="s">
        <v>9236</v>
      </c>
      <c r="G1" s="38" t="s">
        <v>9237</v>
      </c>
      <c r="H1" s="38" t="s">
        <v>9238</v>
      </c>
      <c r="I1" s="35" t="s">
        <v>14951</v>
      </c>
      <c r="J1" s="36" t="s">
        <v>9239</v>
      </c>
    </row>
    <row r="2" spans="1:10" x14ac:dyDescent="0.25">
      <c r="A2" s="31" t="s">
        <v>1788</v>
      </c>
      <c r="B2" s="31">
        <v>1</v>
      </c>
      <c r="C2" s="32" t="s">
        <v>9775</v>
      </c>
      <c r="D2" s="31" t="s">
        <v>9775</v>
      </c>
      <c r="E2" s="40" t="s">
        <v>9240</v>
      </c>
      <c r="F2" s="38" t="s">
        <v>8848</v>
      </c>
      <c r="G2" s="38" t="s">
        <v>9240</v>
      </c>
      <c r="H2" s="38" t="s">
        <v>9240</v>
      </c>
      <c r="I2" s="35" t="s">
        <v>9775</v>
      </c>
      <c r="J2" s="36" t="s">
        <v>1788</v>
      </c>
    </row>
    <row r="3" spans="1:10" x14ac:dyDescent="0.25">
      <c r="A3" s="31" t="s">
        <v>83</v>
      </c>
      <c r="B3" s="31">
        <v>1</v>
      </c>
      <c r="C3" s="32" t="s">
        <v>9776</v>
      </c>
      <c r="D3" s="31" t="s">
        <v>9775</v>
      </c>
      <c r="E3" s="40" t="s">
        <v>9241</v>
      </c>
      <c r="F3" s="38" t="s">
        <v>8848</v>
      </c>
      <c r="G3" s="38" t="s">
        <v>9241</v>
      </c>
      <c r="H3" s="38" t="s">
        <v>9241</v>
      </c>
      <c r="I3" s="35" t="s">
        <v>9776</v>
      </c>
      <c r="J3" s="36" t="s">
        <v>83</v>
      </c>
    </row>
    <row r="4" spans="1:10" x14ac:dyDescent="0.25">
      <c r="A4" s="31" t="s">
        <v>83</v>
      </c>
      <c r="B4" s="31">
        <v>1</v>
      </c>
      <c r="C4" s="32" t="s">
        <v>9777</v>
      </c>
      <c r="D4" s="31" t="s">
        <v>9775</v>
      </c>
      <c r="E4" s="40" t="s">
        <v>9778</v>
      </c>
      <c r="F4" s="38" t="s">
        <v>8848</v>
      </c>
      <c r="G4" s="38" t="s">
        <v>9241</v>
      </c>
      <c r="H4" s="38"/>
      <c r="I4" s="35" t="s">
        <v>9776</v>
      </c>
      <c r="J4" s="36" t="s">
        <v>83</v>
      </c>
    </row>
    <row r="5" spans="1:10" x14ac:dyDescent="0.25">
      <c r="A5" s="31" t="s">
        <v>84</v>
      </c>
      <c r="B5" s="31">
        <v>1.01</v>
      </c>
      <c r="C5" s="32" t="s">
        <v>9779</v>
      </c>
      <c r="D5" s="31" t="s">
        <v>9775</v>
      </c>
      <c r="E5" s="40" t="s">
        <v>9242</v>
      </c>
      <c r="F5" s="38" t="s">
        <v>8848</v>
      </c>
      <c r="G5" s="38" t="s">
        <v>9242</v>
      </c>
      <c r="H5" s="38" t="s">
        <v>9242</v>
      </c>
      <c r="I5" s="35" t="s">
        <v>9779</v>
      </c>
      <c r="J5" s="36" t="s">
        <v>84</v>
      </c>
    </row>
    <row r="6" spans="1:10" x14ac:dyDescent="0.25">
      <c r="A6" s="31" t="s">
        <v>85</v>
      </c>
      <c r="B6" s="31">
        <v>1.0101</v>
      </c>
      <c r="C6" s="32" t="s">
        <v>9780</v>
      </c>
      <c r="D6" s="31" t="s">
        <v>9775</v>
      </c>
      <c r="E6" s="40" t="s">
        <v>9781</v>
      </c>
      <c r="F6" s="38" t="s">
        <v>8848</v>
      </c>
      <c r="G6" s="38" t="s">
        <v>9242</v>
      </c>
      <c r="H6" s="38"/>
      <c r="I6" s="35" t="s">
        <v>9779</v>
      </c>
      <c r="J6" s="36" t="s">
        <v>85</v>
      </c>
    </row>
    <row r="7" spans="1:10" x14ac:dyDescent="0.25">
      <c r="A7" s="31" t="s">
        <v>86</v>
      </c>
      <c r="B7" s="31">
        <v>1.0102</v>
      </c>
      <c r="C7" s="32" t="s">
        <v>9782</v>
      </c>
      <c r="D7" s="31" t="s">
        <v>9775</v>
      </c>
      <c r="E7" s="40" t="s">
        <v>9783</v>
      </c>
      <c r="F7" s="38" t="s">
        <v>8848</v>
      </c>
      <c r="G7" s="38" t="s">
        <v>9242</v>
      </c>
      <c r="H7" s="38"/>
      <c r="I7" s="35" t="s">
        <v>9779</v>
      </c>
      <c r="J7" s="36" t="s">
        <v>86</v>
      </c>
    </row>
    <row r="8" spans="1:10" x14ac:dyDescent="0.25">
      <c r="A8" s="31" t="s">
        <v>87</v>
      </c>
      <c r="B8" s="31">
        <v>1.0103</v>
      </c>
      <c r="C8" s="32" t="s">
        <v>9784</v>
      </c>
      <c r="D8" s="31" t="s">
        <v>9775</v>
      </c>
      <c r="E8" s="40" t="s">
        <v>9785</v>
      </c>
      <c r="F8" s="38" t="s">
        <v>8848</v>
      </c>
      <c r="G8" s="38" t="s">
        <v>9242</v>
      </c>
      <c r="H8" s="38"/>
      <c r="I8" s="35" t="s">
        <v>9779</v>
      </c>
      <c r="J8" s="36" t="s">
        <v>87</v>
      </c>
    </row>
    <row r="9" spans="1:10" x14ac:dyDescent="0.25">
      <c r="A9" s="31" t="s">
        <v>88</v>
      </c>
      <c r="B9" s="31">
        <v>1.0104</v>
      </c>
      <c r="C9" s="32" t="s">
        <v>9786</v>
      </c>
      <c r="D9" s="31" t="s">
        <v>9775</v>
      </c>
      <c r="E9" s="40" t="s">
        <v>9787</v>
      </c>
      <c r="F9" s="38" t="s">
        <v>8848</v>
      </c>
      <c r="G9" s="38" t="s">
        <v>9242</v>
      </c>
      <c r="H9" s="38"/>
      <c r="I9" s="35" t="s">
        <v>9779</v>
      </c>
      <c r="J9" s="36" t="s">
        <v>88</v>
      </c>
    </row>
    <row r="10" spans="1:10" x14ac:dyDescent="0.25">
      <c r="A10" s="31" t="s">
        <v>89</v>
      </c>
      <c r="B10" s="31">
        <v>1.0105</v>
      </c>
      <c r="C10" s="32" t="s">
        <v>9788</v>
      </c>
      <c r="D10" s="31" t="s">
        <v>9775</v>
      </c>
      <c r="E10" s="40" t="s">
        <v>9789</v>
      </c>
      <c r="F10" s="38" t="s">
        <v>8848</v>
      </c>
      <c r="G10" s="38" t="s">
        <v>9242</v>
      </c>
      <c r="H10" s="38"/>
      <c r="I10" s="35" t="s">
        <v>9779</v>
      </c>
      <c r="J10" s="36" t="s">
        <v>89</v>
      </c>
    </row>
    <row r="11" spans="1:10" x14ac:dyDescent="0.25">
      <c r="A11" s="31" t="s">
        <v>1789</v>
      </c>
      <c r="B11" s="31">
        <v>1.0105999999999999</v>
      </c>
      <c r="C11" s="32" t="s">
        <v>9790</v>
      </c>
      <c r="D11" s="31" t="s">
        <v>9775</v>
      </c>
      <c r="E11" s="40" t="s">
        <v>9791</v>
      </c>
      <c r="F11" s="38" t="s">
        <v>8848</v>
      </c>
      <c r="G11" s="38" t="s">
        <v>9242</v>
      </c>
      <c r="H11" s="38"/>
      <c r="I11" s="35" t="s">
        <v>9779</v>
      </c>
      <c r="J11" s="36" t="s">
        <v>1789</v>
      </c>
    </row>
    <row r="12" spans="1:10" x14ac:dyDescent="0.25">
      <c r="A12" s="31" t="s">
        <v>90</v>
      </c>
      <c r="B12" s="31">
        <v>1.0199</v>
      </c>
      <c r="C12" s="32" t="s">
        <v>9792</v>
      </c>
      <c r="D12" s="31" t="s">
        <v>9775</v>
      </c>
      <c r="E12" s="40" t="s">
        <v>9793</v>
      </c>
      <c r="F12" s="38" t="s">
        <v>8848</v>
      </c>
      <c r="G12" s="38" t="s">
        <v>9242</v>
      </c>
      <c r="H12" s="38"/>
      <c r="I12" s="35" t="s">
        <v>9779</v>
      </c>
      <c r="J12" s="36" t="s">
        <v>90</v>
      </c>
    </row>
    <row r="13" spans="1:10" x14ac:dyDescent="0.25">
      <c r="A13" s="31" t="s">
        <v>91</v>
      </c>
      <c r="B13" s="31">
        <v>1.02</v>
      </c>
      <c r="C13" s="32" t="s">
        <v>9794</v>
      </c>
      <c r="D13" s="31" t="s">
        <v>9775</v>
      </c>
      <c r="E13" s="40" t="s">
        <v>9243</v>
      </c>
      <c r="F13" s="38" t="s">
        <v>8848</v>
      </c>
      <c r="G13" s="38" t="s">
        <v>9243</v>
      </c>
      <c r="H13" s="38" t="s">
        <v>9243</v>
      </c>
      <c r="I13" s="35" t="s">
        <v>9794</v>
      </c>
      <c r="J13" s="36" t="s">
        <v>91</v>
      </c>
    </row>
    <row r="14" spans="1:10" x14ac:dyDescent="0.25">
      <c r="A14" s="31" t="s">
        <v>92</v>
      </c>
      <c r="B14" s="31">
        <v>1.0201</v>
      </c>
      <c r="C14" s="32" t="s">
        <v>9795</v>
      </c>
      <c r="D14" s="31" t="s">
        <v>9775</v>
      </c>
      <c r="E14" s="40" t="s">
        <v>9796</v>
      </c>
      <c r="F14" s="38" t="s">
        <v>8848</v>
      </c>
      <c r="G14" s="38" t="s">
        <v>9243</v>
      </c>
      <c r="H14" s="38"/>
      <c r="I14" s="35" t="s">
        <v>9794</v>
      </c>
      <c r="J14" s="36" t="s">
        <v>92</v>
      </c>
    </row>
    <row r="15" spans="1:10" x14ac:dyDescent="0.25">
      <c r="A15" s="31" t="s">
        <v>93</v>
      </c>
      <c r="B15" s="31">
        <v>1.0204</v>
      </c>
      <c r="C15" s="32" t="s">
        <v>9797</v>
      </c>
      <c r="D15" s="31" t="s">
        <v>9775</v>
      </c>
      <c r="E15" s="40" t="s">
        <v>9798</v>
      </c>
      <c r="F15" s="38" t="s">
        <v>8848</v>
      </c>
      <c r="G15" s="38" t="s">
        <v>9243</v>
      </c>
      <c r="H15" s="38"/>
      <c r="I15" s="35" t="s">
        <v>9794</v>
      </c>
      <c r="J15" s="36" t="s">
        <v>93</v>
      </c>
    </row>
    <row r="16" spans="1:10" x14ac:dyDescent="0.25">
      <c r="A16" s="31" t="s">
        <v>1790</v>
      </c>
      <c r="B16" s="31">
        <v>1.0205</v>
      </c>
      <c r="C16" s="32" t="s">
        <v>9799</v>
      </c>
      <c r="D16" s="31" t="s">
        <v>9775</v>
      </c>
      <c r="E16" s="40" t="s">
        <v>9800</v>
      </c>
      <c r="F16" s="38" t="s">
        <v>8848</v>
      </c>
      <c r="G16" s="38" t="s">
        <v>9243</v>
      </c>
      <c r="H16" s="38"/>
      <c r="I16" s="35" t="s">
        <v>9794</v>
      </c>
      <c r="J16" s="36" t="s">
        <v>1790</v>
      </c>
    </row>
    <row r="17" spans="1:10" x14ac:dyDescent="0.25">
      <c r="A17" s="31" t="s">
        <v>1791</v>
      </c>
      <c r="B17" s="31">
        <v>1.0206999999999999</v>
      </c>
      <c r="C17" s="32" t="s">
        <v>9801</v>
      </c>
      <c r="D17" s="31" t="s">
        <v>9775</v>
      </c>
      <c r="E17" s="40" t="s">
        <v>9802</v>
      </c>
      <c r="F17" s="38" t="s">
        <v>8848</v>
      </c>
      <c r="G17" s="38" t="s">
        <v>9243</v>
      </c>
      <c r="H17" s="38"/>
      <c r="I17" s="35" t="s">
        <v>9794</v>
      </c>
      <c r="J17" s="36" t="s">
        <v>1791</v>
      </c>
    </row>
    <row r="18" spans="1:10" x14ac:dyDescent="0.25">
      <c r="A18" s="31" t="s">
        <v>94</v>
      </c>
      <c r="B18" s="31">
        <v>1.0299</v>
      </c>
      <c r="C18" s="32" t="s">
        <v>9803</v>
      </c>
      <c r="D18" s="31" t="s">
        <v>9775</v>
      </c>
      <c r="E18" s="40" t="s">
        <v>9804</v>
      </c>
      <c r="F18" s="38" t="s">
        <v>8848</v>
      </c>
      <c r="G18" s="38" t="s">
        <v>9243</v>
      </c>
      <c r="H18" s="38"/>
      <c r="I18" s="35" t="s">
        <v>9794</v>
      </c>
      <c r="J18" s="36" t="s">
        <v>94</v>
      </c>
    </row>
    <row r="19" spans="1:10" x14ac:dyDescent="0.25">
      <c r="A19" s="31" t="s">
        <v>95</v>
      </c>
      <c r="B19" s="31">
        <v>1.03</v>
      </c>
      <c r="C19" s="32" t="s">
        <v>9805</v>
      </c>
      <c r="D19" s="31" t="s">
        <v>9775</v>
      </c>
      <c r="E19" s="40" t="s">
        <v>9244</v>
      </c>
      <c r="F19" s="38" t="s">
        <v>8848</v>
      </c>
      <c r="G19" s="38" t="s">
        <v>9244</v>
      </c>
      <c r="H19" s="38" t="s">
        <v>9244</v>
      </c>
      <c r="I19" s="35" t="s">
        <v>9805</v>
      </c>
      <c r="J19" s="36" t="s">
        <v>95</v>
      </c>
    </row>
    <row r="20" spans="1:10" x14ac:dyDescent="0.25">
      <c r="A20" s="31" t="s">
        <v>96</v>
      </c>
      <c r="B20" s="31">
        <v>1.0301</v>
      </c>
      <c r="C20" s="32" t="s">
        <v>9806</v>
      </c>
      <c r="D20" s="31" t="s">
        <v>9775</v>
      </c>
      <c r="E20" s="40" t="s">
        <v>9807</v>
      </c>
      <c r="F20" s="38" t="s">
        <v>8848</v>
      </c>
      <c r="G20" s="38" t="s">
        <v>9244</v>
      </c>
      <c r="H20" s="38"/>
      <c r="I20" s="35" t="s">
        <v>9805</v>
      </c>
      <c r="J20" s="36" t="s">
        <v>96</v>
      </c>
    </row>
    <row r="21" spans="1:10" x14ac:dyDescent="0.25">
      <c r="A21" s="31" t="s">
        <v>97</v>
      </c>
      <c r="B21" s="31">
        <v>1.0302</v>
      </c>
      <c r="C21" s="32" t="s">
        <v>9808</v>
      </c>
      <c r="D21" s="31" t="s">
        <v>9775</v>
      </c>
      <c r="E21" s="40" t="s">
        <v>9809</v>
      </c>
      <c r="F21" s="38" t="s">
        <v>8848</v>
      </c>
      <c r="G21" s="38" t="s">
        <v>9244</v>
      </c>
      <c r="H21" s="38"/>
      <c r="I21" s="35" t="s">
        <v>9805</v>
      </c>
      <c r="J21" s="36" t="s">
        <v>97</v>
      </c>
    </row>
    <row r="22" spans="1:10" x14ac:dyDescent="0.25">
      <c r="A22" s="31" t="s">
        <v>98</v>
      </c>
      <c r="B22" s="31">
        <v>1.0303</v>
      </c>
      <c r="C22" s="32" t="s">
        <v>9810</v>
      </c>
      <c r="D22" s="31" t="s">
        <v>9775</v>
      </c>
      <c r="E22" s="40" t="s">
        <v>9811</v>
      </c>
      <c r="F22" s="38" t="s">
        <v>8848</v>
      </c>
      <c r="G22" s="38" t="s">
        <v>9244</v>
      </c>
      <c r="H22" s="38"/>
      <c r="I22" s="35" t="s">
        <v>9805</v>
      </c>
      <c r="J22" s="36" t="s">
        <v>98</v>
      </c>
    </row>
    <row r="23" spans="1:10" x14ac:dyDescent="0.25">
      <c r="A23" s="31" t="s">
        <v>99</v>
      </c>
      <c r="B23" s="31">
        <v>1.0304</v>
      </c>
      <c r="C23" s="32" t="s">
        <v>9812</v>
      </c>
      <c r="D23" s="31" t="s">
        <v>9775</v>
      </c>
      <c r="E23" s="40" t="s">
        <v>9813</v>
      </c>
      <c r="F23" s="38" t="s">
        <v>8848</v>
      </c>
      <c r="G23" s="38" t="s">
        <v>9244</v>
      </c>
      <c r="H23" s="38"/>
      <c r="I23" s="35" t="s">
        <v>9805</v>
      </c>
      <c r="J23" s="36" t="s">
        <v>99</v>
      </c>
    </row>
    <row r="24" spans="1:10" x14ac:dyDescent="0.25">
      <c r="A24" s="31" t="s">
        <v>100</v>
      </c>
      <c r="B24" s="31">
        <v>1.0306</v>
      </c>
      <c r="C24" s="32" t="s">
        <v>9814</v>
      </c>
      <c r="D24" s="31" t="s">
        <v>9775</v>
      </c>
      <c r="E24" s="40" t="s">
        <v>9815</v>
      </c>
      <c r="F24" s="38" t="s">
        <v>8848</v>
      </c>
      <c r="G24" s="38" t="s">
        <v>9244</v>
      </c>
      <c r="H24" s="38"/>
      <c r="I24" s="35" t="s">
        <v>9805</v>
      </c>
      <c r="J24" s="36" t="s">
        <v>100</v>
      </c>
    </row>
    <row r="25" spans="1:10" x14ac:dyDescent="0.25">
      <c r="A25" s="31" t="s">
        <v>101</v>
      </c>
      <c r="B25" s="31">
        <v>1.0306999999999999</v>
      </c>
      <c r="C25" s="32" t="s">
        <v>9816</v>
      </c>
      <c r="D25" s="31" t="s">
        <v>9775</v>
      </c>
      <c r="E25" s="40" t="s">
        <v>9817</v>
      </c>
      <c r="F25" s="38" t="s">
        <v>8848</v>
      </c>
      <c r="G25" s="38" t="s">
        <v>9244</v>
      </c>
      <c r="H25" s="38"/>
      <c r="I25" s="35" t="s">
        <v>9805</v>
      </c>
      <c r="J25" s="36" t="s">
        <v>101</v>
      </c>
    </row>
    <row r="26" spans="1:10" x14ac:dyDescent="0.25">
      <c r="A26" s="31" t="s">
        <v>102</v>
      </c>
      <c r="B26" s="31">
        <v>1.0307999999999999</v>
      </c>
      <c r="C26" s="32" t="s">
        <v>9818</v>
      </c>
      <c r="D26" s="31" t="s">
        <v>9775</v>
      </c>
      <c r="E26" s="40" t="s">
        <v>9819</v>
      </c>
      <c r="F26" s="38" t="s">
        <v>8848</v>
      </c>
      <c r="G26" s="38" t="s">
        <v>9244</v>
      </c>
      <c r="H26" s="38"/>
      <c r="I26" s="35" t="s">
        <v>9805</v>
      </c>
      <c r="J26" s="36" t="s">
        <v>102</v>
      </c>
    </row>
    <row r="27" spans="1:10" x14ac:dyDescent="0.25">
      <c r="A27" s="31" t="s">
        <v>103</v>
      </c>
      <c r="B27" s="31">
        <v>1.0308999999999999</v>
      </c>
      <c r="C27" s="32" t="s">
        <v>9820</v>
      </c>
      <c r="D27" s="31" t="s">
        <v>9775</v>
      </c>
      <c r="E27" s="40" t="s">
        <v>9821</v>
      </c>
      <c r="F27" s="38" t="s">
        <v>8848</v>
      </c>
      <c r="G27" s="38" t="s">
        <v>9244</v>
      </c>
      <c r="H27" s="38"/>
      <c r="I27" s="35" t="s">
        <v>9805</v>
      </c>
      <c r="J27" s="36" t="s">
        <v>103</v>
      </c>
    </row>
    <row r="28" spans="1:10" x14ac:dyDescent="0.25">
      <c r="A28" s="31" t="s">
        <v>1792</v>
      </c>
      <c r="B28" s="31">
        <v>1.0309999999999999</v>
      </c>
      <c r="C28" s="32" t="s">
        <v>9822</v>
      </c>
      <c r="D28" s="31" t="s">
        <v>9775</v>
      </c>
      <c r="E28" s="40" t="s">
        <v>9823</v>
      </c>
      <c r="F28" s="38" t="s">
        <v>8848</v>
      </c>
      <c r="G28" s="38" t="s">
        <v>9244</v>
      </c>
      <c r="H28" s="38"/>
      <c r="I28" s="35" t="s">
        <v>9805</v>
      </c>
      <c r="J28" s="36" t="s">
        <v>1792</v>
      </c>
    </row>
    <row r="29" spans="1:10" x14ac:dyDescent="0.25">
      <c r="A29" s="31" t="s">
        <v>104</v>
      </c>
      <c r="B29" s="31">
        <v>1.0399</v>
      </c>
      <c r="C29" s="32" t="s">
        <v>9824</v>
      </c>
      <c r="D29" s="31" t="s">
        <v>9775</v>
      </c>
      <c r="E29" s="40" t="s">
        <v>9825</v>
      </c>
      <c r="F29" s="38" t="s">
        <v>8848</v>
      </c>
      <c r="G29" s="38" t="s">
        <v>9244</v>
      </c>
      <c r="H29" s="38"/>
      <c r="I29" s="35" t="s">
        <v>9805</v>
      </c>
      <c r="J29" s="36" t="s">
        <v>104</v>
      </c>
    </row>
    <row r="30" spans="1:10" x14ac:dyDescent="0.25">
      <c r="A30" s="31" t="s">
        <v>105</v>
      </c>
      <c r="B30" s="31">
        <v>1.04</v>
      </c>
      <c r="C30" s="32" t="s">
        <v>9826</v>
      </c>
      <c r="D30" s="31" t="s">
        <v>9775</v>
      </c>
      <c r="E30" s="40" t="s">
        <v>9245</v>
      </c>
      <c r="F30" s="38" t="s">
        <v>8848</v>
      </c>
      <c r="G30" s="38" t="s">
        <v>9245</v>
      </c>
      <c r="H30" s="38" t="s">
        <v>9245</v>
      </c>
      <c r="I30" s="35" t="s">
        <v>9826</v>
      </c>
      <c r="J30" s="36" t="s">
        <v>105</v>
      </c>
    </row>
    <row r="31" spans="1:10" x14ac:dyDescent="0.25">
      <c r="A31" s="31" t="s">
        <v>105</v>
      </c>
      <c r="B31" s="31">
        <v>1.0401</v>
      </c>
      <c r="C31" s="32" t="s">
        <v>9827</v>
      </c>
      <c r="D31" s="31" t="s">
        <v>9775</v>
      </c>
      <c r="E31" s="40" t="s">
        <v>9828</v>
      </c>
      <c r="F31" s="38" t="s">
        <v>8848</v>
      </c>
      <c r="G31" s="38" t="s">
        <v>9245</v>
      </c>
      <c r="H31" s="38"/>
      <c r="I31" s="35" t="s">
        <v>9826</v>
      </c>
      <c r="J31" s="36" t="s">
        <v>105</v>
      </c>
    </row>
    <row r="32" spans="1:10" x14ac:dyDescent="0.25">
      <c r="A32" s="31" t="s">
        <v>1793</v>
      </c>
      <c r="B32" s="31">
        <v>1.048</v>
      </c>
      <c r="C32" s="32" t="s">
        <v>9829</v>
      </c>
      <c r="D32" s="31" t="s">
        <v>9775</v>
      </c>
      <c r="E32" s="40" t="s">
        <v>9830</v>
      </c>
      <c r="F32" s="38" t="s">
        <v>8848</v>
      </c>
      <c r="G32" s="38" t="s">
        <v>9245</v>
      </c>
      <c r="H32" s="38"/>
      <c r="I32" s="35" t="s">
        <v>9826</v>
      </c>
      <c r="J32" s="36" t="s">
        <v>1793</v>
      </c>
    </row>
    <row r="33" spans="1:10" x14ac:dyDescent="0.25">
      <c r="A33" s="31" t="s">
        <v>106</v>
      </c>
      <c r="B33" s="31">
        <v>1.05</v>
      </c>
      <c r="C33" s="32" t="s">
        <v>9831</v>
      </c>
      <c r="D33" s="31" t="s">
        <v>9775</v>
      </c>
      <c r="E33" s="40" t="s">
        <v>9246</v>
      </c>
      <c r="F33" s="38" t="s">
        <v>8848</v>
      </c>
      <c r="G33" s="38" t="s">
        <v>9246</v>
      </c>
      <c r="H33" s="38" t="s">
        <v>9246</v>
      </c>
      <c r="I33" s="35" t="s">
        <v>9831</v>
      </c>
      <c r="J33" s="36" t="s">
        <v>106</v>
      </c>
    </row>
    <row r="34" spans="1:10" x14ac:dyDescent="0.25">
      <c r="A34" s="31" t="s">
        <v>107</v>
      </c>
      <c r="B34" s="31">
        <v>1.0504</v>
      </c>
      <c r="C34" s="32" t="s">
        <v>9832</v>
      </c>
      <c r="D34" s="31" t="s">
        <v>9775</v>
      </c>
      <c r="E34" s="40" t="s">
        <v>9833</v>
      </c>
      <c r="F34" s="38" t="s">
        <v>8848</v>
      </c>
      <c r="G34" s="38" t="s">
        <v>9246</v>
      </c>
      <c r="H34" s="38"/>
      <c r="I34" s="35" t="s">
        <v>9831</v>
      </c>
      <c r="J34" s="36" t="s">
        <v>107</v>
      </c>
    </row>
    <row r="35" spans="1:10" x14ac:dyDescent="0.25">
      <c r="A35" s="31" t="s">
        <v>108</v>
      </c>
      <c r="B35" s="31">
        <v>1.0505</v>
      </c>
      <c r="C35" s="32" t="s">
        <v>9834</v>
      </c>
      <c r="D35" s="31" t="s">
        <v>9775</v>
      </c>
      <c r="E35" s="40" t="s">
        <v>9835</v>
      </c>
      <c r="F35" s="38" t="s">
        <v>8848</v>
      </c>
      <c r="G35" s="38" t="s">
        <v>9246</v>
      </c>
      <c r="H35" s="38"/>
      <c r="I35" s="35" t="s">
        <v>9831</v>
      </c>
      <c r="J35" s="36" t="s">
        <v>108</v>
      </c>
    </row>
    <row r="36" spans="1:10" x14ac:dyDescent="0.25">
      <c r="A36" s="31" t="s">
        <v>109</v>
      </c>
      <c r="B36" s="31">
        <v>1.0507</v>
      </c>
      <c r="C36" s="32" t="s">
        <v>9836</v>
      </c>
      <c r="D36" s="31" t="s">
        <v>9775</v>
      </c>
      <c r="E36" s="40" t="s">
        <v>9837</v>
      </c>
      <c r="F36" s="38" t="s">
        <v>8848</v>
      </c>
      <c r="G36" s="38" t="s">
        <v>9246</v>
      </c>
      <c r="H36" s="38"/>
      <c r="I36" s="35" t="s">
        <v>9831</v>
      </c>
      <c r="J36" s="36" t="s">
        <v>109</v>
      </c>
    </row>
    <row r="37" spans="1:10" x14ac:dyDescent="0.25">
      <c r="A37" s="31" t="s">
        <v>110</v>
      </c>
      <c r="B37" s="31">
        <v>1.0508</v>
      </c>
      <c r="C37" s="32" t="s">
        <v>9838</v>
      </c>
      <c r="D37" s="31" t="s">
        <v>9775</v>
      </c>
      <c r="E37" s="40" t="s">
        <v>9839</v>
      </c>
      <c r="F37" s="38" t="s">
        <v>8848</v>
      </c>
      <c r="G37" s="38" t="s">
        <v>9246</v>
      </c>
      <c r="H37" s="38"/>
      <c r="I37" s="35" t="s">
        <v>9831</v>
      </c>
      <c r="J37" s="36" t="s">
        <v>110</v>
      </c>
    </row>
    <row r="38" spans="1:10" x14ac:dyDescent="0.25">
      <c r="A38" s="31" t="s">
        <v>1794</v>
      </c>
      <c r="B38" s="31">
        <v>1.0508999999999999</v>
      </c>
      <c r="C38" s="32" t="s">
        <v>9840</v>
      </c>
      <c r="D38" s="31" t="s">
        <v>9775</v>
      </c>
      <c r="E38" s="40" t="s">
        <v>9841</v>
      </c>
      <c r="F38" s="38" t="s">
        <v>8848</v>
      </c>
      <c r="G38" s="38" t="s">
        <v>9246</v>
      </c>
      <c r="H38" s="38"/>
      <c r="I38" s="35" t="s">
        <v>9831</v>
      </c>
      <c r="J38" s="36" t="s">
        <v>1794</v>
      </c>
    </row>
    <row r="39" spans="1:10" x14ac:dyDescent="0.25">
      <c r="A39" s="31" t="s">
        <v>111</v>
      </c>
      <c r="B39" s="31">
        <v>1.0599000000000001</v>
      </c>
      <c r="C39" s="32" t="s">
        <v>9842</v>
      </c>
      <c r="D39" s="31" t="s">
        <v>9775</v>
      </c>
      <c r="E39" s="40" t="s">
        <v>9843</v>
      </c>
      <c r="F39" s="38" t="s">
        <v>8848</v>
      </c>
      <c r="G39" s="38" t="s">
        <v>9246</v>
      </c>
      <c r="H39" s="38"/>
      <c r="I39" s="35" t="s">
        <v>9831</v>
      </c>
      <c r="J39" s="36" t="s">
        <v>111</v>
      </c>
    </row>
    <row r="40" spans="1:10" x14ac:dyDescent="0.25">
      <c r="A40" s="31" t="s">
        <v>112</v>
      </c>
      <c r="B40" s="31">
        <v>1.06</v>
      </c>
      <c r="C40" s="32" t="s">
        <v>9844</v>
      </c>
      <c r="D40" s="31" t="s">
        <v>9775</v>
      </c>
      <c r="E40" s="40" t="s">
        <v>9247</v>
      </c>
      <c r="F40" s="38" t="s">
        <v>8848</v>
      </c>
      <c r="G40" s="38" t="s">
        <v>9247</v>
      </c>
      <c r="H40" s="38" t="s">
        <v>9247</v>
      </c>
      <c r="I40" s="35" t="s">
        <v>9844</v>
      </c>
      <c r="J40" s="36" t="s">
        <v>112</v>
      </c>
    </row>
    <row r="41" spans="1:10" x14ac:dyDescent="0.25">
      <c r="A41" s="31" t="s">
        <v>113</v>
      </c>
      <c r="B41" s="31">
        <v>1.0601</v>
      </c>
      <c r="C41" s="32" t="s">
        <v>9845</v>
      </c>
      <c r="D41" s="31" t="s">
        <v>9775</v>
      </c>
      <c r="E41" s="40" t="s">
        <v>9846</v>
      </c>
      <c r="F41" s="38" t="s">
        <v>8848</v>
      </c>
      <c r="G41" s="38" t="s">
        <v>9247</v>
      </c>
      <c r="H41" s="38"/>
      <c r="I41" s="35" t="s">
        <v>9844</v>
      </c>
      <c r="J41" s="36" t="s">
        <v>113</v>
      </c>
    </row>
    <row r="42" spans="1:10" x14ac:dyDescent="0.25">
      <c r="A42" s="31" t="s">
        <v>114</v>
      </c>
      <c r="B42" s="31">
        <v>1.0603</v>
      </c>
      <c r="C42" s="32" t="s">
        <v>9847</v>
      </c>
      <c r="D42" s="31" t="s">
        <v>9775</v>
      </c>
      <c r="E42" s="40" t="s">
        <v>9848</v>
      </c>
      <c r="F42" s="38" t="s">
        <v>8848</v>
      </c>
      <c r="G42" s="38" t="s">
        <v>9247</v>
      </c>
      <c r="H42" s="38"/>
      <c r="I42" s="35" t="s">
        <v>9844</v>
      </c>
      <c r="J42" s="36" t="s">
        <v>114</v>
      </c>
    </row>
    <row r="43" spans="1:10" x14ac:dyDescent="0.25">
      <c r="A43" s="31" t="s">
        <v>115</v>
      </c>
      <c r="B43" s="31">
        <v>1.0604</v>
      </c>
      <c r="C43" s="32" t="s">
        <v>9849</v>
      </c>
      <c r="D43" s="31" t="s">
        <v>9775</v>
      </c>
      <c r="E43" s="40" t="s">
        <v>9850</v>
      </c>
      <c r="F43" s="38" t="s">
        <v>8848</v>
      </c>
      <c r="G43" s="38" t="s">
        <v>9247</v>
      </c>
      <c r="H43" s="38"/>
      <c r="I43" s="35" t="s">
        <v>9844</v>
      </c>
      <c r="J43" s="36" t="s">
        <v>115</v>
      </c>
    </row>
    <row r="44" spans="1:10" x14ac:dyDescent="0.25">
      <c r="A44" s="31" t="s">
        <v>116</v>
      </c>
      <c r="B44" s="31">
        <v>1.0605</v>
      </c>
      <c r="C44" s="32" t="s">
        <v>9851</v>
      </c>
      <c r="D44" s="31" t="s">
        <v>9775</v>
      </c>
      <c r="E44" s="40" t="s">
        <v>9852</v>
      </c>
      <c r="F44" s="38" t="s">
        <v>8848</v>
      </c>
      <c r="G44" s="38" t="s">
        <v>9247</v>
      </c>
      <c r="H44" s="38"/>
      <c r="I44" s="35" t="s">
        <v>9844</v>
      </c>
      <c r="J44" s="36" t="s">
        <v>116</v>
      </c>
    </row>
    <row r="45" spans="1:10" x14ac:dyDescent="0.25">
      <c r="A45" s="31" t="s">
        <v>117</v>
      </c>
      <c r="B45" s="31">
        <v>1.0606</v>
      </c>
      <c r="C45" s="32" t="s">
        <v>9853</v>
      </c>
      <c r="D45" s="31" t="s">
        <v>9775</v>
      </c>
      <c r="E45" s="40" t="s">
        <v>9854</v>
      </c>
      <c r="F45" s="38" t="s">
        <v>8848</v>
      </c>
      <c r="G45" s="38" t="s">
        <v>9247</v>
      </c>
      <c r="H45" s="38"/>
      <c r="I45" s="35" t="s">
        <v>9844</v>
      </c>
      <c r="J45" s="36" t="s">
        <v>117</v>
      </c>
    </row>
    <row r="46" spans="1:10" x14ac:dyDescent="0.25">
      <c r="A46" s="31" t="s">
        <v>118</v>
      </c>
      <c r="B46" s="31">
        <v>1.0607</v>
      </c>
      <c r="C46" s="32" t="s">
        <v>9855</v>
      </c>
      <c r="D46" s="31" t="s">
        <v>9775</v>
      </c>
      <c r="E46" s="40" t="s">
        <v>9856</v>
      </c>
      <c r="F46" s="38" t="s">
        <v>8848</v>
      </c>
      <c r="G46" s="38" t="s">
        <v>9247</v>
      </c>
      <c r="H46" s="38"/>
      <c r="I46" s="35" t="s">
        <v>9844</v>
      </c>
      <c r="J46" s="36" t="s">
        <v>118</v>
      </c>
    </row>
    <row r="47" spans="1:10" x14ac:dyDescent="0.25">
      <c r="A47" s="31" t="s">
        <v>119</v>
      </c>
      <c r="B47" s="31">
        <v>1.0608</v>
      </c>
      <c r="C47" s="32" t="s">
        <v>9857</v>
      </c>
      <c r="D47" s="31" t="s">
        <v>9775</v>
      </c>
      <c r="E47" s="40" t="s">
        <v>9858</v>
      </c>
      <c r="F47" s="38" t="s">
        <v>8848</v>
      </c>
      <c r="G47" s="38" t="s">
        <v>9247</v>
      </c>
      <c r="H47" s="38"/>
      <c r="I47" s="35" t="s">
        <v>9844</v>
      </c>
      <c r="J47" s="36" t="s">
        <v>119</v>
      </c>
    </row>
    <row r="48" spans="1:10" x14ac:dyDescent="0.25">
      <c r="A48" s="31" t="s">
        <v>1795</v>
      </c>
      <c r="B48" s="31">
        <v>1.0609</v>
      </c>
      <c r="C48" s="32" t="s">
        <v>9859</v>
      </c>
      <c r="D48" s="31" t="s">
        <v>9775</v>
      </c>
      <c r="E48" s="40" t="s">
        <v>9860</v>
      </c>
      <c r="F48" s="38" t="s">
        <v>8848</v>
      </c>
      <c r="G48" s="38" t="s">
        <v>9247</v>
      </c>
      <c r="H48" s="38"/>
      <c r="I48" s="35" t="s">
        <v>9844</v>
      </c>
      <c r="J48" s="36" t="s">
        <v>1795</v>
      </c>
    </row>
    <row r="49" spans="1:10" x14ac:dyDescent="0.25">
      <c r="A49" s="31" t="s">
        <v>1796</v>
      </c>
      <c r="B49" s="31">
        <v>1.0609999999999999</v>
      </c>
      <c r="C49" s="32" t="s">
        <v>9861</v>
      </c>
      <c r="D49" s="31" t="s">
        <v>9775</v>
      </c>
      <c r="E49" s="40" t="s">
        <v>9862</v>
      </c>
      <c r="F49" s="38" t="s">
        <v>8848</v>
      </c>
      <c r="G49" s="38" t="s">
        <v>9247</v>
      </c>
      <c r="H49" s="38"/>
      <c r="I49" s="35" t="s">
        <v>9844</v>
      </c>
      <c r="J49" s="36" t="s">
        <v>1796</v>
      </c>
    </row>
    <row r="50" spans="1:10" x14ac:dyDescent="0.25">
      <c r="A50" s="31" t="s">
        <v>1793</v>
      </c>
      <c r="B50" s="31">
        <v>1.0680000000000001</v>
      </c>
      <c r="C50" s="32" t="s">
        <v>9863</v>
      </c>
      <c r="D50" s="31" t="s">
        <v>9775</v>
      </c>
      <c r="E50" s="40" t="s">
        <v>9864</v>
      </c>
      <c r="F50" s="38" t="s">
        <v>8848</v>
      </c>
      <c r="G50" s="38" t="s">
        <v>9247</v>
      </c>
      <c r="H50" s="38"/>
      <c r="I50" s="35" t="s">
        <v>9844</v>
      </c>
      <c r="J50" s="36" t="s">
        <v>1793</v>
      </c>
    </row>
    <row r="51" spans="1:10" x14ac:dyDescent="0.25">
      <c r="A51" s="31" t="s">
        <v>120</v>
      </c>
      <c r="B51" s="31">
        <v>1.0699000000000001</v>
      </c>
      <c r="C51" s="32" t="s">
        <v>9865</v>
      </c>
      <c r="D51" s="31" t="s">
        <v>9775</v>
      </c>
      <c r="E51" s="40" t="s">
        <v>9866</v>
      </c>
      <c r="F51" s="38" t="s">
        <v>8848</v>
      </c>
      <c r="G51" s="38" t="s">
        <v>9247</v>
      </c>
      <c r="H51" s="38"/>
      <c r="I51" s="35" t="s">
        <v>9844</v>
      </c>
      <c r="J51" s="36" t="s">
        <v>120</v>
      </c>
    </row>
    <row r="52" spans="1:10" x14ac:dyDescent="0.25">
      <c r="A52" s="31" t="s">
        <v>121</v>
      </c>
      <c r="B52" s="31">
        <v>1.07</v>
      </c>
      <c r="C52" s="32" t="s">
        <v>9867</v>
      </c>
      <c r="D52" s="31" t="s">
        <v>9775</v>
      </c>
      <c r="E52" s="40" t="s">
        <v>9248</v>
      </c>
      <c r="F52" s="38" t="s">
        <v>8848</v>
      </c>
      <c r="G52" s="38" t="s">
        <v>9248</v>
      </c>
      <c r="H52" s="38" t="s">
        <v>9248</v>
      </c>
      <c r="I52" s="35" t="s">
        <v>9867</v>
      </c>
      <c r="J52" s="36" t="s">
        <v>121</v>
      </c>
    </row>
    <row r="53" spans="1:10" x14ac:dyDescent="0.25">
      <c r="A53" s="31" t="s">
        <v>121</v>
      </c>
      <c r="B53" s="31">
        <v>1.0701000000000001</v>
      </c>
      <c r="C53" s="32" t="s">
        <v>9868</v>
      </c>
      <c r="D53" s="31" t="s">
        <v>9775</v>
      </c>
      <c r="E53" s="40" t="s">
        <v>9869</v>
      </c>
      <c r="F53" s="38" t="s">
        <v>8848</v>
      </c>
      <c r="G53" s="38" t="s">
        <v>9248</v>
      </c>
      <c r="H53" s="38"/>
      <c r="I53" s="35" t="s">
        <v>9867</v>
      </c>
      <c r="J53" s="36" t="s">
        <v>121</v>
      </c>
    </row>
    <row r="54" spans="1:10" x14ac:dyDescent="0.25">
      <c r="A54" s="31" t="s">
        <v>122</v>
      </c>
      <c r="B54" s="31">
        <v>1.08</v>
      </c>
      <c r="C54" s="32" t="s">
        <v>9870</v>
      </c>
      <c r="D54" s="31" t="s">
        <v>9775</v>
      </c>
      <c r="E54" s="40" t="s">
        <v>9249</v>
      </c>
      <c r="F54" s="38" t="s">
        <v>8848</v>
      </c>
      <c r="G54" s="38" t="s">
        <v>9249</v>
      </c>
      <c r="H54" s="38" t="s">
        <v>9249</v>
      </c>
      <c r="I54" s="35" t="s">
        <v>9870</v>
      </c>
      <c r="J54" s="36" t="s">
        <v>122</v>
      </c>
    </row>
    <row r="55" spans="1:10" x14ac:dyDescent="0.25">
      <c r="A55" s="31" t="s">
        <v>123</v>
      </c>
      <c r="B55" s="31">
        <v>1.0801000000000001</v>
      </c>
      <c r="C55" s="32" t="s">
        <v>9871</v>
      </c>
      <c r="D55" s="31" t="s">
        <v>9775</v>
      </c>
      <c r="E55" s="40" t="s">
        <v>9872</v>
      </c>
      <c r="F55" s="38" t="s">
        <v>8848</v>
      </c>
      <c r="G55" s="38" t="s">
        <v>9249</v>
      </c>
      <c r="H55" s="38"/>
      <c r="I55" s="35" t="s">
        <v>9870</v>
      </c>
      <c r="J55" s="36" t="s">
        <v>123</v>
      </c>
    </row>
    <row r="56" spans="1:10" x14ac:dyDescent="0.25">
      <c r="A56" s="31" t="s">
        <v>124</v>
      </c>
      <c r="B56" s="31">
        <v>1.0802</v>
      </c>
      <c r="C56" s="32" t="s">
        <v>9873</v>
      </c>
      <c r="D56" s="31" t="s">
        <v>9775</v>
      </c>
      <c r="E56" s="40" t="s">
        <v>9874</v>
      </c>
      <c r="F56" s="38" t="s">
        <v>8848</v>
      </c>
      <c r="G56" s="38" t="s">
        <v>9249</v>
      </c>
      <c r="H56" s="38"/>
      <c r="I56" s="35" t="s">
        <v>9870</v>
      </c>
      <c r="J56" s="36" t="s">
        <v>124</v>
      </c>
    </row>
    <row r="57" spans="1:10" x14ac:dyDescent="0.25">
      <c r="A57" s="31" t="s">
        <v>125</v>
      </c>
      <c r="B57" s="31">
        <v>1.0899000000000001</v>
      </c>
      <c r="C57" s="32" t="s">
        <v>9875</v>
      </c>
      <c r="D57" s="31" t="s">
        <v>9775</v>
      </c>
      <c r="E57" s="40" t="s">
        <v>9876</v>
      </c>
      <c r="F57" s="38" t="s">
        <v>8848</v>
      </c>
      <c r="G57" s="38" t="s">
        <v>9249</v>
      </c>
      <c r="H57" s="38"/>
      <c r="I57" s="35" t="s">
        <v>9870</v>
      </c>
      <c r="J57" s="36" t="s">
        <v>125</v>
      </c>
    </row>
    <row r="58" spans="1:10" x14ac:dyDescent="0.25">
      <c r="A58" s="31" t="s">
        <v>126</v>
      </c>
      <c r="B58" s="31">
        <v>1.0900000000000001</v>
      </c>
      <c r="C58" s="32" t="s">
        <v>9877</v>
      </c>
      <c r="D58" s="31" t="s">
        <v>9775</v>
      </c>
      <c r="E58" s="40" t="s">
        <v>9250</v>
      </c>
      <c r="F58" s="38" t="s">
        <v>8848</v>
      </c>
      <c r="G58" s="38" t="s">
        <v>9250</v>
      </c>
      <c r="H58" s="38" t="s">
        <v>9250</v>
      </c>
      <c r="I58" s="35" t="s">
        <v>9877</v>
      </c>
      <c r="J58" s="36" t="s">
        <v>126</v>
      </c>
    </row>
    <row r="59" spans="1:10" x14ac:dyDescent="0.25">
      <c r="A59" s="31" t="s">
        <v>127</v>
      </c>
      <c r="B59" s="31">
        <v>1.0901000000000001</v>
      </c>
      <c r="C59" s="32" t="s">
        <v>9878</v>
      </c>
      <c r="D59" s="31" t="s">
        <v>9775</v>
      </c>
      <c r="E59" s="40" t="s">
        <v>9879</v>
      </c>
      <c r="F59" s="38" t="s">
        <v>8848</v>
      </c>
      <c r="G59" s="38" t="s">
        <v>9250</v>
      </c>
      <c r="H59" s="38"/>
      <c r="I59" s="35" t="s">
        <v>9877</v>
      </c>
      <c r="J59" s="36" t="s">
        <v>127</v>
      </c>
    </row>
    <row r="60" spans="1:10" x14ac:dyDescent="0.25">
      <c r="A60" s="31" t="s">
        <v>128</v>
      </c>
      <c r="B60" s="31">
        <v>1.0902000000000001</v>
      </c>
      <c r="C60" s="32" t="s">
        <v>9880</v>
      </c>
      <c r="D60" s="31" t="s">
        <v>9775</v>
      </c>
      <c r="E60" s="40" t="s">
        <v>9881</v>
      </c>
      <c r="F60" s="38" t="s">
        <v>8848</v>
      </c>
      <c r="G60" s="38" t="s">
        <v>9250</v>
      </c>
      <c r="H60" s="38"/>
      <c r="I60" s="35" t="s">
        <v>9877</v>
      </c>
      <c r="J60" s="36" t="s">
        <v>128</v>
      </c>
    </row>
    <row r="61" spans="1:10" x14ac:dyDescent="0.25">
      <c r="A61" s="31" t="s">
        <v>129</v>
      </c>
      <c r="B61" s="31">
        <v>1.0903</v>
      </c>
      <c r="C61" s="32" t="s">
        <v>9882</v>
      </c>
      <c r="D61" s="31" t="s">
        <v>9775</v>
      </c>
      <c r="E61" s="40" t="s">
        <v>9883</v>
      </c>
      <c r="F61" s="38" t="s">
        <v>8848</v>
      </c>
      <c r="G61" s="38" t="s">
        <v>9250</v>
      </c>
      <c r="H61" s="38"/>
      <c r="I61" s="35" t="s">
        <v>9877</v>
      </c>
      <c r="J61" s="36" t="s">
        <v>129</v>
      </c>
    </row>
    <row r="62" spans="1:10" x14ac:dyDescent="0.25">
      <c r="A62" s="31" t="s">
        <v>130</v>
      </c>
      <c r="B62" s="31">
        <v>1.0904</v>
      </c>
      <c r="C62" s="32" t="s">
        <v>9884</v>
      </c>
      <c r="D62" s="31" t="s">
        <v>9775</v>
      </c>
      <c r="E62" s="40" t="s">
        <v>9885</v>
      </c>
      <c r="F62" s="38" t="s">
        <v>8848</v>
      </c>
      <c r="G62" s="38" t="s">
        <v>9250</v>
      </c>
      <c r="H62" s="38"/>
      <c r="I62" s="35" t="s">
        <v>9877</v>
      </c>
      <c r="J62" s="36" t="s">
        <v>130</v>
      </c>
    </row>
    <row r="63" spans="1:10" x14ac:dyDescent="0.25">
      <c r="A63" s="31" t="s">
        <v>131</v>
      </c>
      <c r="B63" s="31">
        <v>1.0905</v>
      </c>
      <c r="C63" s="32" t="s">
        <v>9886</v>
      </c>
      <c r="D63" s="31" t="s">
        <v>9775</v>
      </c>
      <c r="E63" s="40" t="s">
        <v>9887</v>
      </c>
      <c r="F63" s="38" t="s">
        <v>8848</v>
      </c>
      <c r="G63" s="38" t="s">
        <v>9250</v>
      </c>
      <c r="H63" s="38"/>
      <c r="I63" s="35" t="s">
        <v>9877</v>
      </c>
      <c r="J63" s="36" t="s">
        <v>131</v>
      </c>
    </row>
    <row r="64" spans="1:10" x14ac:dyDescent="0.25">
      <c r="A64" s="31" t="s">
        <v>132</v>
      </c>
      <c r="B64" s="31">
        <v>1.0906</v>
      </c>
      <c r="C64" s="32" t="s">
        <v>9888</v>
      </c>
      <c r="D64" s="31" t="s">
        <v>9775</v>
      </c>
      <c r="E64" s="40" t="s">
        <v>9889</v>
      </c>
      <c r="F64" s="38" t="s">
        <v>8848</v>
      </c>
      <c r="G64" s="38" t="s">
        <v>9250</v>
      </c>
      <c r="H64" s="38"/>
      <c r="I64" s="35" t="s">
        <v>9877</v>
      </c>
      <c r="J64" s="36" t="s">
        <v>132</v>
      </c>
    </row>
    <row r="65" spans="1:10" x14ac:dyDescent="0.25">
      <c r="A65" s="31" t="s">
        <v>133</v>
      </c>
      <c r="B65" s="31">
        <v>1.0907</v>
      </c>
      <c r="C65" s="32" t="s">
        <v>9890</v>
      </c>
      <c r="D65" s="31" t="s">
        <v>9775</v>
      </c>
      <c r="E65" s="40" t="s">
        <v>9891</v>
      </c>
      <c r="F65" s="38" t="s">
        <v>8848</v>
      </c>
      <c r="G65" s="38" t="s">
        <v>9250</v>
      </c>
      <c r="H65" s="38"/>
      <c r="I65" s="35" t="s">
        <v>9877</v>
      </c>
      <c r="J65" s="36" t="s">
        <v>133</v>
      </c>
    </row>
    <row r="66" spans="1:10" x14ac:dyDescent="0.25">
      <c r="A66" s="31" t="s">
        <v>134</v>
      </c>
      <c r="B66" s="31">
        <v>1.0999000000000001</v>
      </c>
      <c r="C66" s="32" t="s">
        <v>9892</v>
      </c>
      <c r="D66" s="31" t="s">
        <v>9775</v>
      </c>
      <c r="E66" s="40" t="s">
        <v>9893</v>
      </c>
      <c r="F66" s="38" t="s">
        <v>8848</v>
      </c>
      <c r="G66" s="38" t="s">
        <v>9250</v>
      </c>
      <c r="H66" s="38"/>
      <c r="I66" s="35" t="s">
        <v>9877</v>
      </c>
      <c r="J66" s="36" t="s">
        <v>134</v>
      </c>
    </row>
    <row r="67" spans="1:10" x14ac:dyDescent="0.25">
      <c r="A67" s="31" t="s">
        <v>135</v>
      </c>
      <c r="B67" s="31">
        <v>1.1000000000000001</v>
      </c>
      <c r="C67" s="32" t="s">
        <v>9894</v>
      </c>
      <c r="D67" s="31" t="s">
        <v>9775</v>
      </c>
      <c r="E67" s="40" t="s">
        <v>9251</v>
      </c>
      <c r="F67" s="38" t="s">
        <v>8848</v>
      </c>
      <c r="G67" s="38" t="s">
        <v>9251</v>
      </c>
      <c r="H67" s="38" t="s">
        <v>9251</v>
      </c>
      <c r="I67" s="35" t="s">
        <v>9894</v>
      </c>
      <c r="J67" s="36" t="s">
        <v>135</v>
      </c>
    </row>
    <row r="68" spans="1:10" x14ac:dyDescent="0.25">
      <c r="A68" s="31" t="s">
        <v>136</v>
      </c>
      <c r="B68" s="31">
        <v>1.1001000000000001</v>
      </c>
      <c r="C68" s="32" t="s">
        <v>9895</v>
      </c>
      <c r="D68" s="31" t="s">
        <v>9775</v>
      </c>
      <c r="E68" s="40" t="s">
        <v>9896</v>
      </c>
      <c r="F68" s="38" t="s">
        <v>8848</v>
      </c>
      <c r="G68" s="38" t="s">
        <v>9251</v>
      </c>
      <c r="H68" s="38"/>
      <c r="I68" s="35" t="s">
        <v>9894</v>
      </c>
      <c r="J68" s="36" t="s">
        <v>136</v>
      </c>
    </row>
    <row r="69" spans="1:10" x14ac:dyDescent="0.25">
      <c r="A69" s="31" t="s">
        <v>137</v>
      </c>
      <c r="B69" s="31">
        <v>1.1002000000000001</v>
      </c>
      <c r="C69" s="32" t="s">
        <v>9897</v>
      </c>
      <c r="D69" s="31" t="s">
        <v>9775</v>
      </c>
      <c r="E69" s="40" t="s">
        <v>9898</v>
      </c>
      <c r="F69" s="38" t="s">
        <v>8848</v>
      </c>
      <c r="G69" s="38" t="s">
        <v>9251</v>
      </c>
      <c r="H69" s="38"/>
      <c r="I69" s="35" t="s">
        <v>9894</v>
      </c>
      <c r="J69" s="36" t="s">
        <v>137</v>
      </c>
    </row>
    <row r="70" spans="1:10" x14ac:dyDescent="0.25">
      <c r="A70" s="31" t="s">
        <v>1797</v>
      </c>
      <c r="B70" s="31">
        <v>1.1003000000000001</v>
      </c>
      <c r="C70" s="32" t="s">
        <v>9899</v>
      </c>
      <c r="D70" s="31" t="s">
        <v>9775</v>
      </c>
      <c r="E70" s="40" t="s">
        <v>9900</v>
      </c>
      <c r="F70" s="38" t="s">
        <v>8848</v>
      </c>
      <c r="G70" s="38" t="s">
        <v>9251</v>
      </c>
      <c r="H70" s="38"/>
      <c r="I70" s="35" t="s">
        <v>9894</v>
      </c>
      <c r="J70" s="36" t="s">
        <v>1797</v>
      </c>
    </row>
    <row r="71" spans="1:10" x14ac:dyDescent="0.25">
      <c r="A71" s="31" t="s">
        <v>103</v>
      </c>
      <c r="B71" s="31">
        <v>1.1004</v>
      </c>
      <c r="C71" s="32" t="s">
        <v>9901</v>
      </c>
      <c r="D71" s="31" t="s">
        <v>9775</v>
      </c>
      <c r="E71" s="40" t="s">
        <v>9902</v>
      </c>
      <c r="F71" s="38" t="s">
        <v>8848</v>
      </c>
      <c r="G71" s="38" t="s">
        <v>9251</v>
      </c>
      <c r="H71" s="38"/>
      <c r="I71" s="35" t="s">
        <v>9894</v>
      </c>
      <c r="J71" s="36" t="s">
        <v>103</v>
      </c>
    </row>
    <row r="72" spans="1:10" x14ac:dyDescent="0.25">
      <c r="A72" s="31" t="s">
        <v>1798</v>
      </c>
      <c r="B72" s="31">
        <v>1.1005</v>
      </c>
      <c r="C72" s="32" t="s">
        <v>9903</v>
      </c>
      <c r="D72" s="31" t="s">
        <v>9775</v>
      </c>
      <c r="E72" s="40" t="s">
        <v>9904</v>
      </c>
      <c r="F72" s="38" t="s">
        <v>8848</v>
      </c>
      <c r="G72" s="38" t="s">
        <v>9251</v>
      </c>
      <c r="H72" s="38"/>
      <c r="I72" s="35" t="s">
        <v>9894</v>
      </c>
      <c r="J72" s="36" t="s">
        <v>1798</v>
      </c>
    </row>
    <row r="73" spans="1:10" x14ac:dyDescent="0.25">
      <c r="A73" s="31" t="s">
        <v>138</v>
      </c>
      <c r="B73" s="31">
        <v>1.1099000000000001</v>
      </c>
      <c r="C73" s="32" t="s">
        <v>9905</v>
      </c>
      <c r="D73" s="31" t="s">
        <v>9775</v>
      </c>
      <c r="E73" s="40" t="s">
        <v>9906</v>
      </c>
      <c r="F73" s="38" t="s">
        <v>8848</v>
      </c>
      <c r="G73" s="38" t="s">
        <v>9251</v>
      </c>
      <c r="H73" s="38"/>
      <c r="I73" s="35" t="s">
        <v>9894</v>
      </c>
      <c r="J73" s="36" t="s">
        <v>138</v>
      </c>
    </row>
    <row r="74" spans="1:10" x14ac:dyDescent="0.25">
      <c r="A74" s="31" t="s">
        <v>139</v>
      </c>
      <c r="B74" s="31">
        <v>1.1100000000000001</v>
      </c>
      <c r="C74" s="32" t="s">
        <v>9907</v>
      </c>
      <c r="D74" s="31" t="s">
        <v>9775</v>
      </c>
      <c r="E74" s="40" t="s">
        <v>9252</v>
      </c>
      <c r="F74" s="38" t="s">
        <v>8848</v>
      </c>
      <c r="G74" s="38" t="s">
        <v>9252</v>
      </c>
      <c r="H74" s="38" t="s">
        <v>9252</v>
      </c>
      <c r="I74" s="35" t="s">
        <v>9907</v>
      </c>
      <c r="J74" s="36" t="s">
        <v>139</v>
      </c>
    </row>
    <row r="75" spans="1:10" x14ac:dyDescent="0.25">
      <c r="A75" s="31" t="s">
        <v>140</v>
      </c>
      <c r="B75" s="31">
        <v>1.1101000000000001</v>
      </c>
      <c r="C75" s="32" t="s">
        <v>9908</v>
      </c>
      <c r="D75" s="31" t="s">
        <v>9775</v>
      </c>
      <c r="E75" s="40" t="s">
        <v>9909</v>
      </c>
      <c r="F75" s="38" t="s">
        <v>8848</v>
      </c>
      <c r="G75" s="38" t="s">
        <v>9252</v>
      </c>
      <c r="H75" s="38"/>
      <c r="I75" s="35" t="s">
        <v>9907</v>
      </c>
      <c r="J75" s="36" t="s">
        <v>140</v>
      </c>
    </row>
    <row r="76" spans="1:10" x14ac:dyDescent="0.25">
      <c r="A76" s="31" t="s">
        <v>141</v>
      </c>
      <c r="B76" s="31">
        <v>1.1102000000000001</v>
      </c>
      <c r="C76" s="32" t="s">
        <v>9910</v>
      </c>
      <c r="D76" s="31" t="s">
        <v>9775</v>
      </c>
      <c r="E76" s="40" t="s">
        <v>9911</v>
      </c>
      <c r="F76" s="38" t="s">
        <v>8848</v>
      </c>
      <c r="G76" s="38" t="s">
        <v>9252</v>
      </c>
      <c r="H76" s="38"/>
      <c r="I76" s="35" t="s">
        <v>9907</v>
      </c>
      <c r="J76" s="36" t="s">
        <v>141</v>
      </c>
    </row>
    <row r="77" spans="1:10" x14ac:dyDescent="0.25">
      <c r="A77" s="31" t="s">
        <v>142</v>
      </c>
      <c r="B77" s="31">
        <v>1.1103000000000001</v>
      </c>
      <c r="C77" s="32" t="s">
        <v>9912</v>
      </c>
      <c r="D77" s="31" t="s">
        <v>9775</v>
      </c>
      <c r="E77" s="40" t="s">
        <v>9913</v>
      </c>
      <c r="F77" s="38" t="s">
        <v>8848</v>
      </c>
      <c r="G77" s="38" t="s">
        <v>9252</v>
      </c>
      <c r="H77" s="38"/>
      <c r="I77" s="35" t="s">
        <v>9907</v>
      </c>
      <c r="J77" s="36" t="s">
        <v>142</v>
      </c>
    </row>
    <row r="78" spans="1:10" x14ac:dyDescent="0.25">
      <c r="A78" s="31" t="s">
        <v>143</v>
      </c>
      <c r="B78" s="31">
        <v>1.1104000000000001</v>
      </c>
      <c r="C78" s="32" t="s">
        <v>9914</v>
      </c>
      <c r="D78" s="31" t="s">
        <v>9775</v>
      </c>
      <c r="E78" s="40" t="s">
        <v>9915</v>
      </c>
      <c r="F78" s="38" t="s">
        <v>8848</v>
      </c>
      <c r="G78" s="38" t="s">
        <v>9252</v>
      </c>
      <c r="H78" s="38"/>
      <c r="I78" s="35" t="s">
        <v>9907</v>
      </c>
      <c r="J78" s="36" t="s">
        <v>143</v>
      </c>
    </row>
    <row r="79" spans="1:10" x14ac:dyDescent="0.25">
      <c r="A79" s="31" t="s">
        <v>144</v>
      </c>
      <c r="B79" s="31">
        <v>1.1105</v>
      </c>
      <c r="C79" s="32" t="s">
        <v>9916</v>
      </c>
      <c r="D79" s="31" t="s">
        <v>9775</v>
      </c>
      <c r="E79" s="40" t="s">
        <v>9917</v>
      </c>
      <c r="F79" s="38" t="s">
        <v>8848</v>
      </c>
      <c r="G79" s="38" t="s">
        <v>9252</v>
      </c>
      <c r="H79" s="38"/>
      <c r="I79" s="35" t="s">
        <v>9907</v>
      </c>
      <c r="J79" s="36" t="s">
        <v>144</v>
      </c>
    </row>
    <row r="80" spans="1:10" x14ac:dyDescent="0.25">
      <c r="A80" s="31" t="s">
        <v>145</v>
      </c>
      <c r="B80" s="31">
        <v>1.1106</v>
      </c>
      <c r="C80" s="32" t="s">
        <v>9918</v>
      </c>
      <c r="D80" s="31" t="s">
        <v>9775</v>
      </c>
      <c r="E80" s="40" t="s">
        <v>9919</v>
      </c>
      <c r="F80" s="38" t="s">
        <v>8848</v>
      </c>
      <c r="G80" s="38" t="s">
        <v>9252</v>
      </c>
      <c r="H80" s="38"/>
      <c r="I80" s="35" t="s">
        <v>9907</v>
      </c>
      <c r="J80" s="36" t="s">
        <v>145</v>
      </c>
    </row>
    <row r="81" spans="1:10" x14ac:dyDescent="0.25">
      <c r="A81" s="31" t="s">
        <v>1793</v>
      </c>
      <c r="B81" s="31">
        <v>1.1180000000000001</v>
      </c>
      <c r="C81" s="32" t="s">
        <v>9920</v>
      </c>
      <c r="D81" s="31" t="s">
        <v>9775</v>
      </c>
      <c r="E81" s="40" t="s">
        <v>9921</v>
      </c>
      <c r="F81" s="38" t="s">
        <v>8848</v>
      </c>
      <c r="G81" s="38" t="s">
        <v>9252</v>
      </c>
      <c r="H81" s="38"/>
      <c r="I81" s="35" t="s">
        <v>9907</v>
      </c>
      <c r="J81" s="36" t="s">
        <v>1793</v>
      </c>
    </row>
    <row r="82" spans="1:10" x14ac:dyDescent="0.25">
      <c r="A82" s="31" t="s">
        <v>146</v>
      </c>
      <c r="B82" s="31">
        <v>1.1198999999999999</v>
      </c>
      <c r="C82" s="32" t="s">
        <v>9922</v>
      </c>
      <c r="D82" s="31" t="s">
        <v>9775</v>
      </c>
      <c r="E82" s="40" t="s">
        <v>9923</v>
      </c>
      <c r="F82" s="38" t="s">
        <v>8848</v>
      </c>
      <c r="G82" s="38" t="s">
        <v>9252</v>
      </c>
      <c r="H82" s="38"/>
      <c r="I82" s="35" t="s">
        <v>9907</v>
      </c>
      <c r="J82" s="36" t="s">
        <v>146</v>
      </c>
    </row>
    <row r="83" spans="1:10" x14ac:dyDescent="0.25">
      <c r="A83" s="31" t="s">
        <v>147</v>
      </c>
      <c r="B83" s="31">
        <v>1.1200000000000001</v>
      </c>
      <c r="C83" s="32" t="s">
        <v>9924</v>
      </c>
      <c r="D83" s="31" t="s">
        <v>9775</v>
      </c>
      <c r="E83" s="40" t="s">
        <v>9253</v>
      </c>
      <c r="F83" s="38" t="s">
        <v>8848</v>
      </c>
      <c r="G83" s="38" t="s">
        <v>9253</v>
      </c>
      <c r="H83" s="38" t="s">
        <v>9253</v>
      </c>
      <c r="I83" s="35" t="s">
        <v>9924</v>
      </c>
      <c r="J83" s="36" t="s">
        <v>147</v>
      </c>
    </row>
    <row r="84" spans="1:10" x14ac:dyDescent="0.25">
      <c r="A84" s="31" t="s">
        <v>148</v>
      </c>
      <c r="B84" s="31">
        <v>1.1201000000000001</v>
      </c>
      <c r="C84" s="32" t="s">
        <v>9925</v>
      </c>
      <c r="D84" s="31" t="s">
        <v>9775</v>
      </c>
      <c r="E84" s="40" t="s">
        <v>9926</v>
      </c>
      <c r="F84" s="38" t="s">
        <v>8848</v>
      </c>
      <c r="G84" s="38" t="s">
        <v>9253</v>
      </c>
      <c r="H84" s="38"/>
      <c r="I84" s="35" t="s">
        <v>9924</v>
      </c>
      <c r="J84" s="36" t="s">
        <v>148</v>
      </c>
    </row>
    <row r="85" spans="1:10" x14ac:dyDescent="0.25">
      <c r="A85" s="31" t="s">
        <v>149</v>
      </c>
      <c r="B85" s="31">
        <v>1.1202000000000001</v>
      </c>
      <c r="C85" s="32" t="s">
        <v>9927</v>
      </c>
      <c r="D85" s="31" t="s">
        <v>9775</v>
      </c>
      <c r="E85" s="40" t="s">
        <v>9928</v>
      </c>
      <c r="F85" s="38" t="s">
        <v>8848</v>
      </c>
      <c r="G85" s="38" t="s">
        <v>9253</v>
      </c>
      <c r="H85" s="38"/>
      <c r="I85" s="35" t="s">
        <v>9924</v>
      </c>
      <c r="J85" s="36" t="s">
        <v>149</v>
      </c>
    </row>
    <row r="86" spans="1:10" x14ac:dyDescent="0.25">
      <c r="A86" s="31" t="s">
        <v>150</v>
      </c>
      <c r="B86" s="31">
        <v>1.1203000000000001</v>
      </c>
      <c r="C86" s="32" t="s">
        <v>9929</v>
      </c>
      <c r="D86" s="31" t="s">
        <v>9775</v>
      </c>
      <c r="E86" s="40" t="s">
        <v>9930</v>
      </c>
      <c r="F86" s="38" t="s">
        <v>8848</v>
      </c>
      <c r="G86" s="38" t="s">
        <v>9253</v>
      </c>
      <c r="H86" s="38"/>
      <c r="I86" s="35" t="s">
        <v>9924</v>
      </c>
      <c r="J86" s="36" t="s">
        <v>150</v>
      </c>
    </row>
    <row r="87" spans="1:10" x14ac:dyDescent="0.25">
      <c r="A87" s="31" t="s">
        <v>151</v>
      </c>
      <c r="B87" s="31">
        <v>1.1298999999999999</v>
      </c>
      <c r="C87" s="32" t="s">
        <v>9931</v>
      </c>
      <c r="D87" s="31" t="s">
        <v>9775</v>
      </c>
      <c r="E87" s="40" t="s">
        <v>9932</v>
      </c>
      <c r="F87" s="38" t="s">
        <v>8848</v>
      </c>
      <c r="G87" s="38" t="s">
        <v>9253</v>
      </c>
      <c r="H87" s="38"/>
      <c r="I87" s="35" t="s">
        <v>9924</v>
      </c>
      <c r="J87" s="36" t="s">
        <v>151</v>
      </c>
    </row>
    <row r="88" spans="1:10" x14ac:dyDescent="0.25">
      <c r="A88" s="31" t="s">
        <v>1799</v>
      </c>
      <c r="B88" s="31">
        <v>1.1299999999999999</v>
      </c>
      <c r="C88" s="32" t="s">
        <v>9933</v>
      </c>
      <c r="D88" s="31" t="s">
        <v>9775</v>
      </c>
      <c r="E88" s="40" t="s">
        <v>9254</v>
      </c>
      <c r="F88" s="38" t="s">
        <v>8848</v>
      </c>
      <c r="G88" s="38" t="s">
        <v>9254</v>
      </c>
      <c r="H88" s="38" t="s">
        <v>9254</v>
      </c>
      <c r="I88" s="35" t="s">
        <v>9933</v>
      </c>
      <c r="J88" s="36" t="s">
        <v>1799</v>
      </c>
    </row>
    <row r="89" spans="1:10" x14ac:dyDescent="0.25">
      <c r="A89" s="31" t="s">
        <v>1503</v>
      </c>
      <c r="B89" s="31">
        <v>1.1302000000000001</v>
      </c>
      <c r="C89" s="32" t="s">
        <v>9934</v>
      </c>
      <c r="D89" s="31" t="s">
        <v>9775</v>
      </c>
      <c r="E89" s="40" t="s">
        <v>9935</v>
      </c>
      <c r="F89" s="38" t="s">
        <v>8848</v>
      </c>
      <c r="G89" s="38" t="s">
        <v>9254</v>
      </c>
      <c r="H89" s="38"/>
      <c r="I89" s="35" t="s">
        <v>9933</v>
      </c>
      <c r="J89" s="36" t="s">
        <v>1503</v>
      </c>
    </row>
    <row r="90" spans="1:10" x14ac:dyDescent="0.25">
      <c r="A90" s="31" t="s">
        <v>1800</v>
      </c>
      <c r="B90" s="31">
        <v>1.1398999999999999</v>
      </c>
      <c r="C90" s="32" t="s">
        <v>9936</v>
      </c>
      <c r="D90" s="31" t="s">
        <v>9775</v>
      </c>
      <c r="E90" s="40" t="s">
        <v>9937</v>
      </c>
      <c r="F90" s="38" t="s">
        <v>8848</v>
      </c>
      <c r="G90" s="38" t="s">
        <v>9254</v>
      </c>
      <c r="H90" s="38"/>
      <c r="I90" s="35" t="s">
        <v>9933</v>
      </c>
      <c r="J90" s="36" t="s">
        <v>1800</v>
      </c>
    </row>
    <row r="91" spans="1:10" x14ac:dyDescent="0.25">
      <c r="A91" s="31" t="s">
        <v>1582</v>
      </c>
      <c r="B91" s="31">
        <v>1.8</v>
      </c>
      <c r="C91" s="32" t="s">
        <v>9938</v>
      </c>
      <c r="D91" s="31" t="s">
        <v>9775</v>
      </c>
      <c r="E91" s="40" t="s">
        <v>9255</v>
      </c>
      <c r="F91" s="38" t="s">
        <v>8848</v>
      </c>
      <c r="G91" s="38" t="s">
        <v>9255</v>
      </c>
      <c r="H91" s="38" t="s">
        <v>9255</v>
      </c>
      <c r="I91" s="35" t="s">
        <v>9938</v>
      </c>
      <c r="J91" s="36" t="s">
        <v>1582</v>
      </c>
    </row>
    <row r="92" spans="1:10" x14ac:dyDescent="0.25">
      <c r="A92" s="31" t="s">
        <v>1582</v>
      </c>
      <c r="B92" s="31">
        <v>1.8001</v>
      </c>
      <c r="C92" s="32" t="s">
        <v>9939</v>
      </c>
      <c r="D92" s="31" t="s">
        <v>9775</v>
      </c>
      <c r="E92" s="40" t="s">
        <v>9940</v>
      </c>
      <c r="F92" s="38" t="s">
        <v>8848</v>
      </c>
      <c r="G92" s="38" t="s">
        <v>9255</v>
      </c>
      <c r="H92" s="38"/>
      <c r="I92" s="35" t="s">
        <v>9938</v>
      </c>
      <c r="J92" s="36" t="s">
        <v>1582</v>
      </c>
    </row>
    <row r="93" spans="1:10" x14ac:dyDescent="0.25">
      <c r="A93" s="31" t="s">
        <v>1583</v>
      </c>
      <c r="B93" s="31">
        <v>1.81</v>
      </c>
      <c r="C93" s="32" t="s">
        <v>9941</v>
      </c>
      <c r="D93" s="31" t="s">
        <v>9775</v>
      </c>
      <c r="E93" s="40" t="s">
        <v>9256</v>
      </c>
      <c r="F93" s="38" t="s">
        <v>8848</v>
      </c>
      <c r="G93" s="38" t="s">
        <v>9256</v>
      </c>
      <c r="H93" s="38" t="s">
        <v>9256</v>
      </c>
      <c r="I93" s="35" t="s">
        <v>9941</v>
      </c>
      <c r="J93" s="36" t="s">
        <v>1583</v>
      </c>
    </row>
    <row r="94" spans="1:10" x14ac:dyDescent="0.25">
      <c r="A94" s="31" t="s">
        <v>1584</v>
      </c>
      <c r="B94" s="31">
        <v>1.8101</v>
      </c>
      <c r="C94" s="32" t="s">
        <v>9942</v>
      </c>
      <c r="D94" s="31" t="s">
        <v>9775</v>
      </c>
      <c r="E94" s="40" t="s">
        <v>9943</v>
      </c>
      <c r="F94" s="38" t="s">
        <v>8848</v>
      </c>
      <c r="G94" s="38" t="s">
        <v>9256</v>
      </c>
      <c r="H94" s="38"/>
      <c r="I94" s="35" t="s">
        <v>9941</v>
      </c>
      <c r="J94" s="36" t="s">
        <v>1584</v>
      </c>
    </row>
    <row r="95" spans="1:10" x14ac:dyDescent="0.25">
      <c r="A95" s="31" t="s">
        <v>1592</v>
      </c>
      <c r="B95" s="31">
        <v>1.8102</v>
      </c>
      <c r="C95" s="32" t="s">
        <v>9944</v>
      </c>
      <c r="D95" s="31" t="s">
        <v>9775</v>
      </c>
      <c r="E95" s="40" t="s">
        <v>9945</v>
      </c>
      <c r="F95" s="38" t="s">
        <v>8848</v>
      </c>
      <c r="G95" s="38" t="s">
        <v>9256</v>
      </c>
      <c r="H95" s="38"/>
      <c r="I95" s="35" t="s">
        <v>9941</v>
      </c>
      <c r="J95" s="36" t="s">
        <v>1592</v>
      </c>
    </row>
    <row r="96" spans="1:10" x14ac:dyDescent="0.25">
      <c r="A96" s="31" t="s">
        <v>1590</v>
      </c>
      <c r="B96" s="31">
        <v>1.8103</v>
      </c>
      <c r="C96" s="32" t="s">
        <v>9946</v>
      </c>
      <c r="D96" s="31" t="s">
        <v>9775</v>
      </c>
      <c r="E96" s="40" t="s">
        <v>9947</v>
      </c>
      <c r="F96" s="38" t="s">
        <v>8848</v>
      </c>
      <c r="G96" s="38" t="s">
        <v>9256</v>
      </c>
      <c r="H96" s="38"/>
      <c r="I96" s="35" t="s">
        <v>9941</v>
      </c>
      <c r="J96" s="36" t="s">
        <v>1590</v>
      </c>
    </row>
    <row r="97" spans="1:10" x14ac:dyDescent="0.25">
      <c r="A97" s="31" t="s">
        <v>1591</v>
      </c>
      <c r="B97" s="31">
        <v>1.8104</v>
      </c>
      <c r="C97" s="32" t="s">
        <v>9948</v>
      </c>
      <c r="D97" s="31" t="s">
        <v>9775</v>
      </c>
      <c r="E97" s="40" t="s">
        <v>9949</v>
      </c>
      <c r="F97" s="38" t="s">
        <v>8848</v>
      </c>
      <c r="G97" s="38" t="s">
        <v>9256</v>
      </c>
      <c r="H97" s="38"/>
      <c r="I97" s="35" t="s">
        <v>9941</v>
      </c>
      <c r="J97" s="36" t="s">
        <v>1591</v>
      </c>
    </row>
    <row r="98" spans="1:10" x14ac:dyDescent="0.25">
      <c r="A98" s="31" t="s">
        <v>1585</v>
      </c>
      <c r="B98" s="31">
        <v>1.8105</v>
      </c>
      <c r="C98" s="32" t="s">
        <v>9950</v>
      </c>
      <c r="D98" s="31" t="s">
        <v>9775</v>
      </c>
      <c r="E98" s="40" t="s">
        <v>9951</v>
      </c>
      <c r="F98" s="38" t="s">
        <v>8848</v>
      </c>
      <c r="G98" s="38" t="s">
        <v>9256</v>
      </c>
      <c r="H98" s="38"/>
      <c r="I98" s="35" t="s">
        <v>9941</v>
      </c>
      <c r="J98" s="36" t="s">
        <v>1585</v>
      </c>
    </row>
    <row r="99" spans="1:10" x14ac:dyDescent="0.25">
      <c r="A99" s="31" t="s">
        <v>1594</v>
      </c>
      <c r="B99" s="31">
        <v>1.8106</v>
      </c>
      <c r="C99" s="32" t="s">
        <v>9952</v>
      </c>
      <c r="D99" s="31" t="s">
        <v>9775</v>
      </c>
      <c r="E99" s="40" t="s">
        <v>9953</v>
      </c>
      <c r="F99" s="38" t="s">
        <v>8848</v>
      </c>
      <c r="G99" s="38" t="s">
        <v>9256</v>
      </c>
      <c r="H99" s="38"/>
      <c r="I99" s="35" t="s">
        <v>9941</v>
      </c>
      <c r="J99" s="36" t="s">
        <v>1594</v>
      </c>
    </row>
    <row r="100" spans="1:10" x14ac:dyDescent="0.25">
      <c r="A100" s="31" t="s">
        <v>1587</v>
      </c>
      <c r="B100" s="31">
        <v>1.8107</v>
      </c>
      <c r="C100" s="32" t="s">
        <v>9954</v>
      </c>
      <c r="D100" s="31" t="s">
        <v>9775</v>
      </c>
      <c r="E100" s="40" t="s">
        <v>9955</v>
      </c>
      <c r="F100" s="38" t="s">
        <v>8848</v>
      </c>
      <c r="G100" s="38" t="s">
        <v>9256</v>
      </c>
      <c r="H100" s="38"/>
      <c r="I100" s="35" t="s">
        <v>9941</v>
      </c>
      <c r="J100" s="36" t="s">
        <v>1587</v>
      </c>
    </row>
    <row r="101" spans="1:10" x14ac:dyDescent="0.25">
      <c r="A101" s="31" t="s">
        <v>1588</v>
      </c>
      <c r="B101" s="31">
        <v>1.8108</v>
      </c>
      <c r="C101" s="32" t="s">
        <v>9956</v>
      </c>
      <c r="D101" s="31" t="s">
        <v>9775</v>
      </c>
      <c r="E101" s="40" t="s">
        <v>9957</v>
      </c>
      <c r="F101" s="38" t="s">
        <v>8848</v>
      </c>
      <c r="G101" s="38" t="s">
        <v>9256</v>
      </c>
      <c r="H101" s="38"/>
      <c r="I101" s="35" t="s">
        <v>9941</v>
      </c>
      <c r="J101" s="36" t="s">
        <v>1588</v>
      </c>
    </row>
    <row r="102" spans="1:10" x14ac:dyDescent="0.25">
      <c r="A102" s="31" t="s">
        <v>1586</v>
      </c>
      <c r="B102" s="31">
        <v>1.8109</v>
      </c>
      <c r="C102" s="32" t="s">
        <v>9958</v>
      </c>
      <c r="D102" s="31" t="s">
        <v>9775</v>
      </c>
      <c r="E102" s="40" t="s">
        <v>9959</v>
      </c>
      <c r="F102" s="38" t="s">
        <v>8848</v>
      </c>
      <c r="G102" s="38" t="s">
        <v>9256</v>
      </c>
      <c r="H102" s="38"/>
      <c r="I102" s="35" t="s">
        <v>9941</v>
      </c>
      <c r="J102" s="36" t="s">
        <v>1586</v>
      </c>
    </row>
    <row r="103" spans="1:10" x14ac:dyDescent="0.25">
      <c r="A103" s="31" t="s">
        <v>1593</v>
      </c>
      <c r="B103" s="31">
        <v>1.8109999999999999</v>
      </c>
      <c r="C103" s="32" t="s">
        <v>9960</v>
      </c>
      <c r="D103" s="31" t="s">
        <v>9775</v>
      </c>
      <c r="E103" s="40" t="s">
        <v>9961</v>
      </c>
      <c r="F103" s="38" t="s">
        <v>8848</v>
      </c>
      <c r="G103" s="38" t="s">
        <v>9256</v>
      </c>
      <c r="H103" s="38"/>
      <c r="I103" s="35" t="s">
        <v>9941</v>
      </c>
      <c r="J103" s="36" t="s">
        <v>1593</v>
      </c>
    </row>
    <row r="104" spans="1:10" x14ac:dyDescent="0.25">
      <c r="A104" s="31" t="s">
        <v>1589</v>
      </c>
      <c r="B104" s="31">
        <v>1.8110999999999999</v>
      </c>
      <c r="C104" s="32" t="s">
        <v>9962</v>
      </c>
      <c r="D104" s="31" t="s">
        <v>9775</v>
      </c>
      <c r="E104" s="40" t="s">
        <v>9963</v>
      </c>
      <c r="F104" s="38" t="s">
        <v>8848</v>
      </c>
      <c r="G104" s="38" t="s">
        <v>9256</v>
      </c>
      <c r="H104" s="38"/>
      <c r="I104" s="35" t="s">
        <v>9941</v>
      </c>
      <c r="J104" s="36" t="s">
        <v>1589</v>
      </c>
    </row>
    <row r="105" spans="1:10" x14ac:dyDescent="0.25">
      <c r="A105" s="31" t="s">
        <v>1595</v>
      </c>
      <c r="B105" s="31">
        <v>1.8199000000000001</v>
      </c>
      <c r="C105" s="32" t="s">
        <v>9964</v>
      </c>
      <c r="D105" s="31" t="s">
        <v>9775</v>
      </c>
      <c r="E105" s="40" t="s">
        <v>9965</v>
      </c>
      <c r="F105" s="38" t="s">
        <v>8848</v>
      </c>
      <c r="G105" s="38" t="s">
        <v>9256</v>
      </c>
      <c r="H105" s="38"/>
      <c r="I105" s="35" t="s">
        <v>9941</v>
      </c>
      <c r="J105" s="36" t="s">
        <v>1595</v>
      </c>
    </row>
    <row r="106" spans="1:10" x14ac:dyDescent="0.25">
      <c r="A106" s="31" t="s">
        <v>1801</v>
      </c>
      <c r="B106" s="31">
        <v>1.82</v>
      </c>
      <c r="C106" s="32" t="s">
        <v>9966</v>
      </c>
      <c r="D106" s="31" t="s">
        <v>9775</v>
      </c>
      <c r="E106" s="40" t="s">
        <v>9257</v>
      </c>
      <c r="F106" s="38" t="s">
        <v>8848</v>
      </c>
      <c r="G106" s="38" t="s">
        <v>9257</v>
      </c>
      <c r="H106" s="38" t="s">
        <v>9257</v>
      </c>
      <c r="I106" s="35" t="s">
        <v>9966</v>
      </c>
      <c r="J106" s="36" t="s">
        <v>1801</v>
      </c>
    </row>
    <row r="107" spans="1:10" x14ac:dyDescent="0.25">
      <c r="A107" s="31" t="s">
        <v>1802</v>
      </c>
      <c r="B107" s="31">
        <v>1.8201000000000001</v>
      </c>
      <c r="C107" s="32" t="s">
        <v>9967</v>
      </c>
      <c r="D107" s="31" t="s">
        <v>9775</v>
      </c>
      <c r="E107" s="40" t="s">
        <v>9968</v>
      </c>
      <c r="F107" s="38" t="s">
        <v>8848</v>
      </c>
      <c r="G107" s="38" t="s">
        <v>9257</v>
      </c>
      <c r="H107" s="38"/>
      <c r="I107" s="35" t="s">
        <v>9966</v>
      </c>
      <c r="J107" s="36" t="s">
        <v>1802</v>
      </c>
    </row>
    <row r="108" spans="1:10" x14ac:dyDescent="0.25">
      <c r="A108" s="31" t="s">
        <v>1803</v>
      </c>
      <c r="B108" s="31">
        <v>1.8202</v>
      </c>
      <c r="C108" s="32" t="s">
        <v>9969</v>
      </c>
      <c r="D108" s="31" t="s">
        <v>9775</v>
      </c>
      <c r="E108" s="40" t="s">
        <v>9970</v>
      </c>
      <c r="F108" s="38" t="s">
        <v>8848</v>
      </c>
      <c r="G108" s="38" t="s">
        <v>9257</v>
      </c>
      <c r="H108" s="38"/>
      <c r="I108" s="35" t="s">
        <v>9966</v>
      </c>
      <c r="J108" s="36" t="s">
        <v>1803</v>
      </c>
    </row>
    <row r="109" spans="1:10" x14ac:dyDescent="0.25">
      <c r="A109" s="31" t="s">
        <v>1804</v>
      </c>
      <c r="B109" s="31">
        <v>1.8203</v>
      </c>
      <c r="C109" s="32" t="s">
        <v>9971</v>
      </c>
      <c r="D109" s="31" t="s">
        <v>9775</v>
      </c>
      <c r="E109" s="40" t="s">
        <v>9972</v>
      </c>
      <c r="F109" s="38" t="s">
        <v>8848</v>
      </c>
      <c r="G109" s="38" t="s">
        <v>9257</v>
      </c>
      <c r="H109" s="38"/>
      <c r="I109" s="35" t="s">
        <v>9966</v>
      </c>
      <c r="J109" s="36" t="s">
        <v>1804</v>
      </c>
    </row>
    <row r="110" spans="1:10" x14ac:dyDescent="0.25">
      <c r="A110" s="31" t="s">
        <v>1805</v>
      </c>
      <c r="B110" s="31">
        <v>1.8204</v>
      </c>
      <c r="C110" s="32" t="s">
        <v>9973</v>
      </c>
      <c r="D110" s="31" t="s">
        <v>9775</v>
      </c>
      <c r="E110" s="40" t="s">
        <v>9974</v>
      </c>
      <c r="F110" s="38" t="s">
        <v>8848</v>
      </c>
      <c r="G110" s="38" t="s">
        <v>9257</v>
      </c>
      <c r="H110" s="38"/>
      <c r="I110" s="35" t="s">
        <v>9966</v>
      </c>
      <c r="J110" s="36" t="s">
        <v>1805</v>
      </c>
    </row>
    <row r="111" spans="1:10" x14ac:dyDescent="0.25">
      <c r="A111" s="31" t="s">
        <v>1806</v>
      </c>
      <c r="B111" s="31">
        <v>1.8299000000000001</v>
      </c>
      <c r="C111" s="32" t="s">
        <v>9975</v>
      </c>
      <c r="D111" s="31" t="s">
        <v>9775</v>
      </c>
      <c r="E111" s="40" t="s">
        <v>9976</v>
      </c>
      <c r="F111" s="38" t="s">
        <v>8848</v>
      </c>
      <c r="G111" s="38" t="s">
        <v>9257</v>
      </c>
      <c r="H111" s="38"/>
      <c r="I111" s="35" t="s">
        <v>9966</v>
      </c>
      <c r="J111" s="36" t="s">
        <v>1806</v>
      </c>
    </row>
    <row r="112" spans="1:10" x14ac:dyDescent="0.25">
      <c r="A112" s="31" t="s">
        <v>1807</v>
      </c>
      <c r="B112" s="31">
        <v>1.83</v>
      </c>
      <c r="C112" s="32" t="s">
        <v>9977</v>
      </c>
      <c r="D112" s="31" t="s">
        <v>9775</v>
      </c>
      <c r="E112" s="40" t="s">
        <v>9258</v>
      </c>
      <c r="F112" s="38" t="s">
        <v>8848</v>
      </c>
      <c r="G112" s="38" t="s">
        <v>9258</v>
      </c>
      <c r="H112" s="38" t="s">
        <v>9258</v>
      </c>
      <c r="I112" s="35" t="s">
        <v>9977</v>
      </c>
      <c r="J112" s="36" t="s">
        <v>1807</v>
      </c>
    </row>
    <row r="113" spans="1:10" x14ac:dyDescent="0.25">
      <c r="A113" s="31" t="s">
        <v>1456</v>
      </c>
      <c r="B113" s="31">
        <v>1.8301000000000001</v>
      </c>
      <c r="C113" s="32" t="s">
        <v>9978</v>
      </c>
      <c r="D113" s="31" t="s">
        <v>9775</v>
      </c>
      <c r="E113" s="40" t="s">
        <v>9979</v>
      </c>
      <c r="F113" s="38" t="s">
        <v>8848</v>
      </c>
      <c r="G113" s="38" t="s">
        <v>9258</v>
      </c>
      <c r="H113" s="38"/>
      <c r="I113" s="35" t="s">
        <v>9977</v>
      </c>
      <c r="J113" s="36" t="s">
        <v>1456</v>
      </c>
    </row>
    <row r="114" spans="1:10" x14ac:dyDescent="0.25">
      <c r="A114" s="31" t="s">
        <v>1808</v>
      </c>
      <c r="B114" s="31">
        <v>1.8399000000000001</v>
      </c>
      <c r="C114" s="32" t="s">
        <v>9980</v>
      </c>
      <c r="D114" s="31" t="s">
        <v>9775</v>
      </c>
      <c r="E114" s="40" t="s">
        <v>9981</v>
      </c>
      <c r="F114" s="38" t="s">
        <v>8848</v>
      </c>
      <c r="G114" s="38" t="s">
        <v>9258</v>
      </c>
      <c r="H114" s="38"/>
      <c r="I114" s="35" t="s">
        <v>9977</v>
      </c>
      <c r="J114" s="36" t="s">
        <v>1808</v>
      </c>
    </row>
    <row r="115" spans="1:10" x14ac:dyDescent="0.25">
      <c r="A115" s="31" t="s">
        <v>1809</v>
      </c>
      <c r="B115" s="31">
        <v>1.99</v>
      </c>
      <c r="C115" s="32" t="s">
        <v>9982</v>
      </c>
      <c r="D115" s="31" t="s">
        <v>9775</v>
      </c>
      <c r="E115" s="40" t="s">
        <v>9259</v>
      </c>
      <c r="F115" s="38" t="s">
        <v>8848</v>
      </c>
      <c r="G115" s="38" t="s">
        <v>9259</v>
      </c>
      <c r="H115" s="38" t="s">
        <v>9259</v>
      </c>
      <c r="I115" s="35" t="s">
        <v>9982</v>
      </c>
      <c r="J115" s="36" t="s">
        <v>1809</v>
      </c>
    </row>
    <row r="116" spans="1:10" x14ac:dyDescent="0.25">
      <c r="A116" s="31" t="s">
        <v>1809</v>
      </c>
      <c r="B116" s="31">
        <v>1.9999</v>
      </c>
      <c r="C116" s="32" t="s">
        <v>9983</v>
      </c>
      <c r="D116" s="31" t="s">
        <v>9775</v>
      </c>
      <c r="E116" s="40" t="s">
        <v>9984</v>
      </c>
      <c r="F116" s="38" t="s">
        <v>8848</v>
      </c>
      <c r="G116" s="38" t="s">
        <v>9259</v>
      </c>
      <c r="H116" s="38"/>
      <c r="I116" s="35" t="s">
        <v>9982</v>
      </c>
      <c r="J116" s="36" t="s">
        <v>1809</v>
      </c>
    </row>
    <row r="117" spans="1:10" x14ac:dyDescent="0.25">
      <c r="A117" s="31" t="s">
        <v>152</v>
      </c>
      <c r="B117" s="31">
        <v>3</v>
      </c>
      <c r="C117" s="32" t="s">
        <v>9985</v>
      </c>
      <c r="D117" s="31" t="s">
        <v>9985</v>
      </c>
      <c r="E117" s="40" t="s">
        <v>9260</v>
      </c>
      <c r="F117" s="38" t="s">
        <v>8865</v>
      </c>
      <c r="G117" s="38" t="s">
        <v>9260</v>
      </c>
      <c r="H117" s="38" t="s">
        <v>9260</v>
      </c>
      <c r="I117" s="35" t="s">
        <v>9985</v>
      </c>
      <c r="J117" s="36" t="s">
        <v>152</v>
      </c>
    </row>
    <row r="118" spans="1:10" x14ac:dyDescent="0.25">
      <c r="A118" s="31" t="s">
        <v>153</v>
      </c>
      <c r="B118" s="31">
        <v>3.01</v>
      </c>
      <c r="C118" s="32" t="s">
        <v>9986</v>
      </c>
      <c r="D118" s="31" t="s">
        <v>9985</v>
      </c>
      <c r="E118" s="40" t="s">
        <v>9261</v>
      </c>
      <c r="F118" s="38" t="s">
        <v>8865</v>
      </c>
      <c r="G118" s="38" t="s">
        <v>9261</v>
      </c>
      <c r="H118" s="38" t="s">
        <v>9261</v>
      </c>
      <c r="I118" s="35" t="s">
        <v>9986</v>
      </c>
      <c r="J118" s="36" t="s">
        <v>153</v>
      </c>
    </row>
    <row r="119" spans="1:10" x14ac:dyDescent="0.25">
      <c r="A119" s="31" t="s">
        <v>154</v>
      </c>
      <c r="B119" s="31">
        <v>3.0101</v>
      </c>
      <c r="C119" s="32" t="s">
        <v>9987</v>
      </c>
      <c r="D119" s="31" t="s">
        <v>9985</v>
      </c>
      <c r="E119" s="40" t="s">
        <v>9988</v>
      </c>
      <c r="F119" s="38" t="s">
        <v>8865</v>
      </c>
      <c r="G119" s="38" t="s">
        <v>9261</v>
      </c>
      <c r="H119" s="38"/>
      <c r="I119" s="35" t="s">
        <v>9986</v>
      </c>
      <c r="J119" s="36" t="s">
        <v>154</v>
      </c>
    </row>
    <row r="120" spans="1:10" x14ac:dyDescent="0.25">
      <c r="A120" s="31" t="s">
        <v>155</v>
      </c>
      <c r="B120" s="31">
        <v>3.0103</v>
      </c>
      <c r="C120" s="32" t="s">
        <v>9989</v>
      </c>
      <c r="D120" s="31" t="s">
        <v>9985</v>
      </c>
      <c r="E120" s="40" t="s">
        <v>9990</v>
      </c>
      <c r="F120" s="38" t="s">
        <v>8865</v>
      </c>
      <c r="G120" s="38" t="s">
        <v>9261</v>
      </c>
      <c r="H120" s="38"/>
      <c r="I120" s="35" t="s">
        <v>9986</v>
      </c>
      <c r="J120" s="36" t="s">
        <v>155</v>
      </c>
    </row>
    <row r="121" spans="1:10" x14ac:dyDescent="0.25">
      <c r="A121" s="31" t="s">
        <v>156</v>
      </c>
      <c r="B121" s="31">
        <v>3.0104000000000002</v>
      </c>
      <c r="C121" s="32" t="s">
        <v>9991</v>
      </c>
      <c r="D121" s="31" t="s">
        <v>9985</v>
      </c>
      <c r="E121" s="40" t="s">
        <v>9992</v>
      </c>
      <c r="F121" s="38" t="s">
        <v>8865</v>
      </c>
      <c r="G121" s="38" t="s">
        <v>9261</v>
      </c>
      <c r="H121" s="38"/>
      <c r="I121" s="35" t="s">
        <v>9986</v>
      </c>
      <c r="J121" s="36" t="s">
        <v>156</v>
      </c>
    </row>
    <row r="122" spans="1:10" x14ac:dyDescent="0.25">
      <c r="A122" s="31" t="s">
        <v>157</v>
      </c>
      <c r="B122" s="31">
        <v>3.0198999999999998</v>
      </c>
      <c r="C122" s="32" t="s">
        <v>9993</v>
      </c>
      <c r="D122" s="31" t="s">
        <v>9985</v>
      </c>
      <c r="E122" s="40" t="s">
        <v>9994</v>
      </c>
      <c r="F122" s="38" t="s">
        <v>8865</v>
      </c>
      <c r="G122" s="38" t="s">
        <v>9261</v>
      </c>
      <c r="H122" s="38"/>
      <c r="I122" s="35" t="s">
        <v>9986</v>
      </c>
      <c r="J122" s="36" t="s">
        <v>157</v>
      </c>
    </row>
    <row r="123" spans="1:10" x14ac:dyDescent="0.25">
      <c r="A123" s="31" t="s">
        <v>1810</v>
      </c>
      <c r="B123" s="31">
        <v>3.02</v>
      </c>
      <c r="C123" s="32" t="s">
        <v>9995</v>
      </c>
      <c r="D123" s="31" t="s">
        <v>9985</v>
      </c>
      <c r="E123" s="40" t="s">
        <v>9262</v>
      </c>
      <c r="F123" s="38" t="s">
        <v>8865</v>
      </c>
      <c r="G123" s="38" t="s">
        <v>9262</v>
      </c>
      <c r="H123" s="38" t="s">
        <v>9262</v>
      </c>
      <c r="I123" s="35" t="s">
        <v>9995</v>
      </c>
      <c r="J123" s="36" t="s">
        <v>1810</v>
      </c>
    </row>
    <row r="124" spans="1:10" x14ac:dyDescent="0.25">
      <c r="A124" s="31" t="s">
        <v>1811</v>
      </c>
      <c r="B124" s="31">
        <v>3.0200999999999998</v>
      </c>
      <c r="C124" s="32" t="s">
        <v>9996</v>
      </c>
      <c r="D124" s="31" t="s">
        <v>9985</v>
      </c>
      <c r="E124" s="40" t="s">
        <v>9997</v>
      </c>
      <c r="F124" s="38" t="s">
        <v>8865</v>
      </c>
      <c r="G124" s="38" t="s">
        <v>9262</v>
      </c>
      <c r="H124" s="38"/>
      <c r="I124" s="35" t="s">
        <v>9995</v>
      </c>
      <c r="J124" s="36" t="s">
        <v>1811</v>
      </c>
    </row>
    <row r="125" spans="1:10" x14ac:dyDescent="0.25">
      <c r="A125" s="31" t="s">
        <v>1812</v>
      </c>
      <c r="B125" s="31">
        <v>3.0204</v>
      </c>
      <c r="C125" s="32" t="s">
        <v>9998</v>
      </c>
      <c r="D125" s="31" t="s">
        <v>9985</v>
      </c>
      <c r="E125" s="40" t="s">
        <v>9999</v>
      </c>
      <c r="F125" s="38" t="s">
        <v>8865</v>
      </c>
      <c r="G125" s="38" t="s">
        <v>9262</v>
      </c>
      <c r="H125" s="38"/>
      <c r="I125" s="35" t="s">
        <v>9995</v>
      </c>
      <c r="J125" s="36" t="s">
        <v>1812</v>
      </c>
    </row>
    <row r="126" spans="1:10" x14ac:dyDescent="0.25">
      <c r="A126" s="31" t="s">
        <v>158</v>
      </c>
      <c r="B126" s="31">
        <v>3.0205000000000002</v>
      </c>
      <c r="C126" s="32" t="s">
        <v>10000</v>
      </c>
      <c r="D126" s="31" t="s">
        <v>9985</v>
      </c>
      <c r="E126" s="40" t="s">
        <v>10001</v>
      </c>
      <c r="F126" s="38" t="s">
        <v>8865</v>
      </c>
      <c r="G126" s="38" t="s">
        <v>9262</v>
      </c>
      <c r="H126" s="38"/>
      <c r="I126" s="35" t="s">
        <v>9995</v>
      </c>
      <c r="J126" s="36" t="s">
        <v>158</v>
      </c>
    </row>
    <row r="127" spans="1:10" x14ac:dyDescent="0.25">
      <c r="A127" s="31" t="s">
        <v>159</v>
      </c>
      <c r="B127" s="31">
        <v>3.0206</v>
      </c>
      <c r="C127" s="32" t="s">
        <v>10002</v>
      </c>
      <c r="D127" s="31" t="s">
        <v>9985</v>
      </c>
      <c r="E127" s="40" t="s">
        <v>10003</v>
      </c>
      <c r="F127" s="38" t="s">
        <v>8865</v>
      </c>
      <c r="G127" s="38" t="s">
        <v>9262</v>
      </c>
      <c r="H127" s="38"/>
      <c r="I127" s="35" t="s">
        <v>9995</v>
      </c>
      <c r="J127" s="36" t="s">
        <v>159</v>
      </c>
    </row>
    <row r="128" spans="1:10" x14ac:dyDescent="0.25">
      <c r="A128" s="31" t="s">
        <v>1813</v>
      </c>
      <c r="B128" s="31">
        <v>3.0207000000000002</v>
      </c>
      <c r="C128" s="32" t="s">
        <v>10004</v>
      </c>
      <c r="D128" s="31" t="s">
        <v>9985</v>
      </c>
      <c r="E128" s="40" t="s">
        <v>10005</v>
      </c>
      <c r="F128" s="38" t="s">
        <v>8865</v>
      </c>
      <c r="G128" s="38" t="s">
        <v>9262</v>
      </c>
      <c r="H128" s="38"/>
      <c r="I128" s="35" t="s">
        <v>9995</v>
      </c>
      <c r="J128" s="36" t="s">
        <v>1813</v>
      </c>
    </row>
    <row r="129" spans="1:10" x14ac:dyDescent="0.25">
      <c r="A129" s="31" t="s">
        <v>1814</v>
      </c>
      <c r="B129" s="31">
        <v>3.0207999999999999</v>
      </c>
      <c r="C129" s="32" t="s">
        <v>10006</v>
      </c>
      <c r="D129" s="31" t="s">
        <v>9985</v>
      </c>
      <c r="E129" s="40" t="s">
        <v>10007</v>
      </c>
      <c r="F129" s="38" t="s">
        <v>8865</v>
      </c>
      <c r="G129" s="38" t="s">
        <v>9262</v>
      </c>
      <c r="H129" s="38"/>
      <c r="I129" s="35" t="s">
        <v>9995</v>
      </c>
      <c r="J129" s="36" t="s">
        <v>1814</v>
      </c>
    </row>
    <row r="130" spans="1:10" x14ac:dyDescent="0.25">
      <c r="A130" s="31" t="s">
        <v>1815</v>
      </c>
      <c r="B130" s="31">
        <v>3.0209000000000001</v>
      </c>
      <c r="C130" s="32" t="s">
        <v>10008</v>
      </c>
      <c r="D130" s="31" t="s">
        <v>9985</v>
      </c>
      <c r="E130" s="40" t="s">
        <v>10009</v>
      </c>
      <c r="F130" s="38" t="s">
        <v>8865</v>
      </c>
      <c r="G130" s="38" t="s">
        <v>9262</v>
      </c>
      <c r="H130" s="38"/>
      <c r="I130" s="35" t="s">
        <v>9995</v>
      </c>
      <c r="J130" s="36" t="s">
        <v>1815</v>
      </c>
    </row>
    <row r="131" spans="1:10" x14ac:dyDescent="0.25">
      <c r="A131" s="31" t="s">
        <v>1816</v>
      </c>
      <c r="B131" s="31">
        <v>3.0209999999999999</v>
      </c>
      <c r="C131" s="32" t="s">
        <v>10010</v>
      </c>
      <c r="D131" s="31" t="s">
        <v>9985</v>
      </c>
      <c r="E131" s="40" t="s">
        <v>10011</v>
      </c>
      <c r="F131" s="38" t="s">
        <v>8865</v>
      </c>
      <c r="G131" s="38" t="s">
        <v>9262</v>
      </c>
      <c r="H131" s="38"/>
      <c r="I131" s="35" t="s">
        <v>9995</v>
      </c>
      <c r="J131" s="36" t="s">
        <v>1816</v>
      </c>
    </row>
    <row r="132" spans="1:10" x14ac:dyDescent="0.25">
      <c r="A132" s="31" t="s">
        <v>1817</v>
      </c>
      <c r="B132" s="31">
        <v>3.0299</v>
      </c>
      <c r="C132" s="32" t="s">
        <v>10012</v>
      </c>
      <c r="D132" s="31" t="s">
        <v>9985</v>
      </c>
      <c r="E132" s="40" t="s">
        <v>10013</v>
      </c>
      <c r="F132" s="38" t="s">
        <v>8865</v>
      </c>
      <c r="G132" s="38" t="s">
        <v>9262</v>
      </c>
      <c r="H132" s="38"/>
      <c r="I132" s="35" t="s">
        <v>9995</v>
      </c>
      <c r="J132" s="36" t="s">
        <v>1817</v>
      </c>
    </row>
    <row r="133" spans="1:10" x14ac:dyDescent="0.25">
      <c r="A133" s="31" t="s">
        <v>160</v>
      </c>
      <c r="B133" s="31">
        <v>3.03</v>
      </c>
      <c r="C133" s="32" t="s">
        <v>10014</v>
      </c>
      <c r="D133" s="31" t="s">
        <v>9985</v>
      </c>
      <c r="E133" s="40" t="s">
        <v>9263</v>
      </c>
      <c r="F133" s="38" t="s">
        <v>8865</v>
      </c>
      <c r="G133" s="38" t="s">
        <v>9263</v>
      </c>
      <c r="H133" s="38" t="s">
        <v>9263</v>
      </c>
      <c r="I133" s="35" t="s">
        <v>10014</v>
      </c>
      <c r="J133" s="36" t="s">
        <v>160</v>
      </c>
    </row>
    <row r="134" spans="1:10" x14ac:dyDescent="0.25">
      <c r="A134" s="31" t="s">
        <v>160</v>
      </c>
      <c r="B134" s="31">
        <v>3.0301</v>
      </c>
      <c r="C134" s="32" t="s">
        <v>10015</v>
      </c>
      <c r="D134" s="31" t="s">
        <v>9985</v>
      </c>
      <c r="E134" s="40" t="s">
        <v>10016</v>
      </c>
      <c r="F134" s="38" t="s">
        <v>8865</v>
      </c>
      <c r="G134" s="38" t="s">
        <v>9263</v>
      </c>
      <c r="H134" s="38"/>
      <c r="I134" s="35" t="s">
        <v>10014</v>
      </c>
      <c r="J134" s="36" t="s">
        <v>160</v>
      </c>
    </row>
    <row r="135" spans="1:10" x14ac:dyDescent="0.25">
      <c r="A135" s="31" t="s">
        <v>161</v>
      </c>
      <c r="B135" s="31">
        <v>3.05</v>
      </c>
      <c r="C135" s="32" t="s">
        <v>10017</v>
      </c>
      <c r="D135" s="31" t="s">
        <v>9985</v>
      </c>
      <c r="E135" s="40" t="s">
        <v>9264</v>
      </c>
      <c r="F135" s="38" t="s">
        <v>8865</v>
      </c>
      <c r="G135" s="38" t="s">
        <v>9264</v>
      </c>
      <c r="H135" s="38" t="s">
        <v>9264</v>
      </c>
      <c r="I135" s="35" t="s">
        <v>10017</v>
      </c>
      <c r="J135" s="36" t="s">
        <v>161</v>
      </c>
    </row>
    <row r="136" spans="1:10" x14ac:dyDescent="0.25">
      <c r="A136" s="31" t="s">
        <v>162</v>
      </c>
      <c r="B136" s="31">
        <v>3.0501</v>
      </c>
      <c r="C136" s="32" t="s">
        <v>10018</v>
      </c>
      <c r="D136" s="31" t="s">
        <v>9985</v>
      </c>
      <c r="E136" s="40" t="s">
        <v>10019</v>
      </c>
      <c r="F136" s="38" t="s">
        <v>8865</v>
      </c>
      <c r="G136" s="38" t="s">
        <v>9264</v>
      </c>
      <c r="H136" s="38"/>
      <c r="I136" s="35" t="s">
        <v>10017</v>
      </c>
      <c r="J136" s="36" t="s">
        <v>162</v>
      </c>
    </row>
    <row r="137" spans="1:10" x14ac:dyDescent="0.25">
      <c r="A137" s="31" t="s">
        <v>163</v>
      </c>
      <c r="B137" s="31">
        <v>3.0501999999999998</v>
      </c>
      <c r="C137" s="32" t="s">
        <v>10020</v>
      </c>
      <c r="D137" s="31" t="s">
        <v>9985</v>
      </c>
      <c r="E137" s="40" t="s">
        <v>10021</v>
      </c>
      <c r="F137" s="38" t="s">
        <v>8865</v>
      </c>
      <c r="G137" s="38" t="s">
        <v>9264</v>
      </c>
      <c r="H137" s="38"/>
      <c r="I137" s="35" t="s">
        <v>10017</v>
      </c>
      <c r="J137" s="36" t="s">
        <v>163</v>
      </c>
    </row>
    <row r="138" spans="1:10" x14ac:dyDescent="0.25">
      <c r="A138" s="31" t="s">
        <v>164</v>
      </c>
      <c r="B138" s="31">
        <v>3.0506000000000002</v>
      </c>
      <c r="C138" s="32" t="s">
        <v>10022</v>
      </c>
      <c r="D138" s="31" t="s">
        <v>9985</v>
      </c>
      <c r="E138" s="40" t="s">
        <v>10023</v>
      </c>
      <c r="F138" s="38" t="s">
        <v>8865</v>
      </c>
      <c r="G138" s="38" t="s">
        <v>9264</v>
      </c>
      <c r="H138" s="38"/>
      <c r="I138" s="35" t="s">
        <v>10017</v>
      </c>
      <c r="J138" s="36" t="s">
        <v>164</v>
      </c>
    </row>
    <row r="139" spans="1:10" x14ac:dyDescent="0.25">
      <c r="A139" s="31" t="s">
        <v>165</v>
      </c>
      <c r="B139" s="31">
        <v>3.0508000000000002</v>
      </c>
      <c r="C139" s="32" t="s">
        <v>10024</v>
      </c>
      <c r="D139" s="31" t="s">
        <v>9985</v>
      </c>
      <c r="E139" s="40" t="s">
        <v>10025</v>
      </c>
      <c r="F139" s="38" t="s">
        <v>8865</v>
      </c>
      <c r="G139" s="38" t="s">
        <v>9264</v>
      </c>
      <c r="H139" s="38"/>
      <c r="I139" s="35" t="s">
        <v>10017</v>
      </c>
      <c r="J139" s="36" t="s">
        <v>165</v>
      </c>
    </row>
    <row r="140" spans="1:10" x14ac:dyDescent="0.25">
      <c r="A140" s="31" t="s">
        <v>1818</v>
      </c>
      <c r="B140" s="31">
        <v>3.0508999999999999</v>
      </c>
      <c r="C140" s="32" t="s">
        <v>10026</v>
      </c>
      <c r="D140" s="31" t="s">
        <v>9985</v>
      </c>
      <c r="E140" s="40" t="s">
        <v>10027</v>
      </c>
      <c r="F140" s="38" t="s">
        <v>8865</v>
      </c>
      <c r="G140" s="38" t="s">
        <v>9264</v>
      </c>
      <c r="H140" s="38"/>
      <c r="I140" s="35" t="s">
        <v>10017</v>
      </c>
      <c r="J140" s="36" t="s">
        <v>1818</v>
      </c>
    </row>
    <row r="141" spans="1:10" x14ac:dyDescent="0.25">
      <c r="A141" s="31" t="s">
        <v>166</v>
      </c>
      <c r="B141" s="31">
        <v>3.0510000000000002</v>
      </c>
      <c r="C141" s="32" t="s">
        <v>10028</v>
      </c>
      <c r="D141" s="31" t="s">
        <v>9985</v>
      </c>
      <c r="E141" s="40" t="s">
        <v>10029</v>
      </c>
      <c r="F141" s="38" t="s">
        <v>8865</v>
      </c>
      <c r="G141" s="38" t="s">
        <v>9264</v>
      </c>
      <c r="H141" s="38"/>
      <c r="I141" s="35" t="s">
        <v>10017</v>
      </c>
      <c r="J141" s="36" t="s">
        <v>166</v>
      </c>
    </row>
    <row r="142" spans="1:10" x14ac:dyDescent="0.25">
      <c r="A142" s="31" t="s">
        <v>167</v>
      </c>
      <c r="B142" s="31">
        <v>3.0510999999999999</v>
      </c>
      <c r="C142" s="32" t="s">
        <v>10030</v>
      </c>
      <c r="D142" s="31" t="s">
        <v>9985</v>
      </c>
      <c r="E142" s="40" t="s">
        <v>10031</v>
      </c>
      <c r="F142" s="38" t="s">
        <v>8865</v>
      </c>
      <c r="G142" s="38" t="s">
        <v>9264</v>
      </c>
      <c r="H142" s="38"/>
      <c r="I142" s="35" t="s">
        <v>10017</v>
      </c>
      <c r="J142" s="36" t="s">
        <v>167</v>
      </c>
    </row>
    <row r="143" spans="1:10" x14ac:dyDescent="0.25">
      <c r="A143" s="31" t="s">
        <v>168</v>
      </c>
      <c r="B143" s="31">
        <v>3.0598999999999998</v>
      </c>
      <c r="C143" s="32" t="s">
        <v>10032</v>
      </c>
      <c r="D143" s="31" t="s">
        <v>9985</v>
      </c>
      <c r="E143" s="40" t="s">
        <v>10033</v>
      </c>
      <c r="F143" s="38" t="s">
        <v>8865</v>
      </c>
      <c r="G143" s="38" t="s">
        <v>9264</v>
      </c>
      <c r="H143" s="38"/>
      <c r="I143" s="35" t="s">
        <v>10017</v>
      </c>
      <c r="J143" s="36" t="s">
        <v>168</v>
      </c>
    </row>
    <row r="144" spans="1:10" x14ac:dyDescent="0.25">
      <c r="A144" s="31" t="s">
        <v>169</v>
      </c>
      <c r="B144" s="31">
        <v>3.06</v>
      </c>
      <c r="C144" s="32" t="s">
        <v>10034</v>
      </c>
      <c r="D144" s="31" t="s">
        <v>9985</v>
      </c>
      <c r="E144" s="40" t="s">
        <v>9265</v>
      </c>
      <c r="F144" s="38" t="s">
        <v>8865</v>
      </c>
      <c r="G144" s="38" t="s">
        <v>9265</v>
      </c>
      <c r="H144" s="38" t="s">
        <v>9265</v>
      </c>
      <c r="I144" s="35" t="s">
        <v>10034</v>
      </c>
      <c r="J144" s="36" t="s">
        <v>169</v>
      </c>
    </row>
    <row r="145" spans="1:10" x14ac:dyDescent="0.25">
      <c r="A145" s="31" t="s">
        <v>1819</v>
      </c>
      <c r="B145" s="31">
        <v>3.0600999999999998</v>
      </c>
      <c r="C145" s="32" t="s">
        <v>10035</v>
      </c>
      <c r="D145" s="31" t="s">
        <v>9985</v>
      </c>
      <c r="E145" s="40" t="s">
        <v>10036</v>
      </c>
      <c r="F145" s="38" t="s">
        <v>8865</v>
      </c>
      <c r="G145" s="38" t="s">
        <v>9265</v>
      </c>
      <c r="H145" s="38"/>
      <c r="I145" s="35" t="s">
        <v>10034</v>
      </c>
      <c r="J145" s="36" t="s">
        <v>1819</v>
      </c>
    </row>
    <row r="146" spans="1:10" x14ac:dyDescent="0.25">
      <c r="A146" s="31" t="s">
        <v>170</v>
      </c>
      <c r="B146" s="31">
        <v>3.99</v>
      </c>
      <c r="C146" s="32" t="s">
        <v>10037</v>
      </c>
      <c r="D146" s="31" t="s">
        <v>9985</v>
      </c>
      <c r="E146" s="40" t="s">
        <v>9266</v>
      </c>
      <c r="F146" s="38" t="s">
        <v>8865</v>
      </c>
      <c r="G146" s="38" t="s">
        <v>9266</v>
      </c>
      <c r="H146" s="38" t="s">
        <v>9266</v>
      </c>
      <c r="I146" s="35" t="s">
        <v>10037</v>
      </c>
      <c r="J146" s="36" t="s">
        <v>170</v>
      </c>
    </row>
    <row r="147" spans="1:10" x14ac:dyDescent="0.25">
      <c r="A147" s="31" t="s">
        <v>170</v>
      </c>
      <c r="B147" s="31">
        <v>3.9998999999999998</v>
      </c>
      <c r="C147" s="32" t="s">
        <v>10038</v>
      </c>
      <c r="D147" s="31" t="s">
        <v>9985</v>
      </c>
      <c r="E147" s="40" t="s">
        <v>10039</v>
      </c>
      <c r="F147" s="38" t="s">
        <v>8865</v>
      </c>
      <c r="G147" s="38" t="s">
        <v>9266</v>
      </c>
      <c r="H147" s="38"/>
      <c r="I147" s="35" t="s">
        <v>10037</v>
      </c>
      <c r="J147" s="36" t="s">
        <v>170</v>
      </c>
    </row>
    <row r="148" spans="1:10" x14ac:dyDescent="0.25">
      <c r="A148" s="31" t="s">
        <v>171</v>
      </c>
      <c r="B148" s="31">
        <v>4</v>
      </c>
      <c r="C148" s="32" t="s">
        <v>10040</v>
      </c>
      <c r="D148" s="31" t="s">
        <v>10040</v>
      </c>
      <c r="E148" s="40" t="s">
        <v>9267</v>
      </c>
      <c r="F148" s="38" t="s">
        <v>8873</v>
      </c>
      <c r="G148" s="38" t="s">
        <v>9267</v>
      </c>
      <c r="H148" s="38" t="s">
        <v>9267</v>
      </c>
      <c r="I148" s="35" t="s">
        <v>10040</v>
      </c>
      <c r="J148" s="36" t="s">
        <v>171</v>
      </c>
    </row>
    <row r="149" spans="1:10" x14ac:dyDescent="0.25">
      <c r="A149" s="31" t="s">
        <v>172</v>
      </c>
      <c r="B149" s="31">
        <v>4.0199999999999996</v>
      </c>
      <c r="C149" s="32" t="s">
        <v>10041</v>
      </c>
      <c r="D149" s="31" t="s">
        <v>10040</v>
      </c>
      <c r="E149" s="40" t="s">
        <v>9268</v>
      </c>
      <c r="F149" s="38" t="s">
        <v>8873</v>
      </c>
      <c r="G149" s="38" t="s">
        <v>9268</v>
      </c>
      <c r="H149" s="38" t="s">
        <v>9268</v>
      </c>
      <c r="I149" s="35" t="s">
        <v>10041</v>
      </c>
      <c r="J149" s="36" t="s">
        <v>172</v>
      </c>
    </row>
    <row r="150" spans="1:10" x14ac:dyDescent="0.25">
      <c r="A150" s="31" t="s">
        <v>1820</v>
      </c>
      <c r="B150" s="31">
        <v>4.0199999999999996</v>
      </c>
      <c r="C150" s="32" t="s">
        <v>10042</v>
      </c>
      <c r="D150" s="31" t="s">
        <v>10040</v>
      </c>
      <c r="E150" s="40" t="s">
        <v>10043</v>
      </c>
      <c r="F150" s="38" t="s">
        <v>8873</v>
      </c>
      <c r="G150" s="38" t="s">
        <v>9268</v>
      </c>
      <c r="H150" s="38"/>
      <c r="I150" s="35" t="s">
        <v>10041</v>
      </c>
      <c r="J150" s="36" t="s">
        <v>1820</v>
      </c>
    </row>
    <row r="151" spans="1:10" x14ac:dyDescent="0.25">
      <c r="A151" s="31" t="s">
        <v>172</v>
      </c>
      <c r="B151" s="31">
        <v>4.0201000000000002</v>
      </c>
      <c r="C151" s="32" t="s">
        <v>10044</v>
      </c>
      <c r="D151" s="31" t="s">
        <v>10040</v>
      </c>
      <c r="E151" s="40" t="s">
        <v>10045</v>
      </c>
      <c r="F151" s="38" t="s">
        <v>8873</v>
      </c>
      <c r="G151" s="38" t="s">
        <v>9268</v>
      </c>
      <c r="H151" s="38"/>
      <c r="I151" s="35" t="s">
        <v>10041</v>
      </c>
      <c r="J151" s="36" t="s">
        <v>172</v>
      </c>
    </row>
    <row r="152" spans="1:10" x14ac:dyDescent="0.25">
      <c r="A152" s="31" t="s">
        <v>1821</v>
      </c>
      <c r="B152" s="31">
        <v>4.0202</v>
      </c>
      <c r="C152" s="32" t="s">
        <v>10046</v>
      </c>
      <c r="D152" s="31" t="s">
        <v>10040</v>
      </c>
      <c r="E152" s="40" t="s">
        <v>10047</v>
      </c>
      <c r="F152" s="38" t="s">
        <v>8873</v>
      </c>
      <c r="G152" s="38" t="s">
        <v>9268</v>
      </c>
      <c r="H152" s="38"/>
      <c r="I152" s="35" t="s">
        <v>10041</v>
      </c>
      <c r="J152" s="36" t="s">
        <v>1821</v>
      </c>
    </row>
    <row r="153" spans="1:10" x14ac:dyDescent="0.25">
      <c r="A153" s="31" t="s">
        <v>1822</v>
      </c>
      <c r="B153" s="31">
        <v>4.0298999999999996</v>
      </c>
      <c r="C153" s="32" t="s">
        <v>10048</v>
      </c>
      <c r="D153" s="31" t="s">
        <v>10040</v>
      </c>
      <c r="E153" s="40" t="s">
        <v>10049</v>
      </c>
      <c r="F153" s="38" t="s">
        <v>8873</v>
      </c>
      <c r="G153" s="38" t="s">
        <v>9268</v>
      </c>
      <c r="H153" s="38"/>
      <c r="I153" s="35" t="s">
        <v>10041</v>
      </c>
      <c r="J153" s="36" t="s">
        <v>1822</v>
      </c>
    </row>
    <row r="154" spans="1:10" x14ac:dyDescent="0.25">
      <c r="A154" s="31" t="s">
        <v>1823</v>
      </c>
      <c r="B154" s="31">
        <v>4.03</v>
      </c>
      <c r="C154" s="32" t="s">
        <v>10050</v>
      </c>
      <c r="D154" s="31" t="s">
        <v>10040</v>
      </c>
      <c r="E154" s="40" t="s">
        <v>9269</v>
      </c>
      <c r="F154" s="38" t="s">
        <v>8873</v>
      </c>
      <c r="G154" s="38" t="s">
        <v>9269</v>
      </c>
      <c r="H154" s="38" t="s">
        <v>9269</v>
      </c>
      <c r="I154" s="35" t="s">
        <v>10050</v>
      </c>
      <c r="J154" s="36" t="s">
        <v>1823</v>
      </c>
    </row>
    <row r="155" spans="1:10" x14ac:dyDescent="0.25">
      <c r="A155" s="31" t="s">
        <v>1823</v>
      </c>
      <c r="B155" s="31">
        <v>4.0301</v>
      </c>
      <c r="C155" s="32" t="s">
        <v>10051</v>
      </c>
      <c r="D155" s="31" t="s">
        <v>10040</v>
      </c>
      <c r="E155" s="40" t="s">
        <v>10052</v>
      </c>
      <c r="F155" s="38" t="s">
        <v>8873</v>
      </c>
      <c r="G155" s="38" t="s">
        <v>9269</v>
      </c>
      <c r="H155" s="38"/>
      <c r="I155" s="35" t="s">
        <v>10050</v>
      </c>
      <c r="J155" s="36" t="s">
        <v>1823</v>
      </c>
    </row>
    <row r="156" spans="1:10" x14ac:dyDescent="0.25">
      <c r="A156" s="31" t="s">
        <v>173</v>
      </c>
      <c r="B156" s="31">
        <v>4.04</v>
      </c>
      <c r="C156" s="32" t="s">
        <v>10053</v>
      </c>
      <c r="D156" s="31" t="s">
        <v>10040</v>
      </c>
      <c r="E156" s="40" t="s">
        <v>9270</v>
      </c>
      <c r="F156" s="38" t="s">
        <v>8873</v>
      </c>
      <c r="G156" s="38" t="s">
        <v>9270</v>
      </c>
      <c r="H156" s="38" t="s">
        <v>9270</v>
      </c>
      <c r="I156" s="35" t="s">
        <v>10053</v>
      </c>
      <c r="J156" s="36" t="s">
        <v>173</v>
      </c>
    </row>
    <row r="157" spans="1:10" x14ac:dyDescent="0.25">
      <c r="A157" s="31" t="s">
        <v>1824</v>
      </c>
      <c r="B157" s="31">
        <v>4.0400999999999998</v>
      </c>
      <c r="C157" s="32" t="s">
        <v>10054</v>
      </c>
      <c r="D157" s="31" t="s">
        <v>10040</v>
      </c>
      <c r="E157" s="40" t="s">
        <v>10055</v>
      </c>
      <c r="F157" s="38" t="s">
        <v>8873</v>
      </c>
      <c r="G157" s="38" t="s">
        <v>9270</v>
      </c>
      <c r="H157" s="38"/>
      <c r="I157" s="35" t="s">
        <v>10053</v>
      </c>
      <c r="J157" s="36" t="s">
        <v>1824</v>
      </c>
    </row>
    <row r="158" spans="1:10" x14ac:dyDescent="0.25">
      <c r="A158" s="31" t="s">
        <v>1825</v>
      </c>
      <c r="B158" s="31">
        <v>4.0401999999999996</v>
      </c>
      <c r="C158" s="32" t="s">
        <v>10056</v>
      </c>
      <c r="D158" s="31" t="s">
        <v>10040</v>
      </c>
      <c r="E158" s="40" t="s">
        <v>10057</v>
      </c>
      <c r="F158" s="38" t="s">
        <v>8873</v>
      </c>
      <c r="G158" s="38" t="s">
        <v>9270</v>
      </c>
      <c r="H158" s="38"/>
      <c r="I158" s="35" t="s">
        <v>10053</v>
      </c>
      <c r="J158" s="36" t="s">
        <v>1825</v>
      </c>
    </row>
    <row r="159" spans="1:10" x14ac:dyDescent="0.25">
      <c r="A159" s="31" t="s">
        <v>1826</v>
      </c>
      <c r="B159" s="31">
        <v>4.0403000000000002</v>
      </c>
      <c r="C159" s="32" t="s">
        <v>10058</v>
      </c>
      <c r="D159" s="31" t="s">
        <v>10040</v>
      </c>
      <c r="E159" s="40" t="s">
        <v>10059</v>
      </c>
      <c r="F159" s="38" t="s">
        <v>8873</v>
      </c>
      <c r="G159" s="38" t="s">
        <v>9270</v>
      </c>
      <c r="H159" s="38"/>
      <c r="I159" s="35" t="s">
        <v>10053</v>
      </c>
      <c r="J159" s="36" t="s">
        <v>1826</v>
      </c>
    </row>
    <row r="160" spans="1:10" x14ac:dyDescent="0.25">
      <c r="A160" s="31" t="s">
        <v>1827</v>
      </c>
      <c r="B160" s="31">
        <v>4.0499000000000001</v>
      </c>
      <c r="C160" s="32" t="s">
        <v>10060</v>
      </c>
      <c r="D160" s="31" t="s">
        <v>10040</v>
      </c>
      <c r="E160" s="40" t="s">
        <v>10061</v>
      </c>
      <c r="F160" s="38" t="s">
        <v>8873</v>
      </c>
      <c r="G160" s="38" t="s">
        <v>9270</v>
      </c>
      <c r="H160" s="38"/>
      <c r="I160" s="35" t="s">
        <v>10053</v>
      </c>
      <c r="J160" s="36" t="s">
        <v>1827</v>
      </c>
    </row>
    <row r="161" spans="1:10" x14ac:dyDescent="0.25">
      <c r="A161" s="31" t="s">
        <v>174</v>
      </c>
      <c r="B161" s="31">
        <v>4.05</v>
      </c>
      <c r="C161" s="32" t="s">
        <v>10062</v>
      </c>
      <c r="D161" s="31" t="s">
        <v>10040</v>
      </c>
      <c r="E161" s="40" t="s">
        <v>9271</v>
      </c>
      <c r="F161" s="38" t="s">
        <v>8873</v>
      </c>
      <c r="G161" s="38" t="s">
        <v>9271</v>
      </c>
      <c r="H161" s="38" t="s">
        <v>9271</v>
      </c>
      <c r="I161" s="35" t="s">
        <v>10062</v>
      </c>
      <c r="J161" s="36" t="s">
        <v>174</v>
      </c>
    </row>
    <row r="162" spans="1:10" x14ac:dyDescent="0.25">
      <c r="A162" s="31" t="s">
        <v>174</v>
      </c>
      <c r="B162" s="31">
        <v>4.0500999999999996</v>
      </c>
      <c r="C162" s="32" t="s">
        <v>10063</v>
      </c>
      <c r="D162" s="31" t="s">
        <v>10040</v>
      </c>
      <c r="E162" s="40" t="s">
        <v>10064</v>
      </c>
      <c r="F162" s="38" t="s">
        <v>8873</v>
      </c>
      <c r="G162" s="38" t="s">
        <v>9271</v>
      </c>
      <c r="H162" s="38"/>
      <c r="I162" s="35" t="s">
        <v>10062</v>
      </c>
      <c r="J162" s="36" t="s">
        <v>174</v>
      </c>
    </row>
    <row r="163" spans="1:10" x14ac:dyDescent="0.25">
      <c r="A163" s="31" t="s">
        <v>175</v>
      </c>
      <c r="B163" s="31">
        <v>4.0599999999999996</v>
      </c>
      <c r="C163" s="32" t="s">
        <v>10065</v>
      </c>
      <c r="D163" s="31" t="s">
        <v>10040</v>
      </c>
      <c r="E163" s="40" t="s">
        <v>9272</v>
      </c>
      <c r="F163" s="38" t="s">
        <v>8873</v>
      </c>
      <c r="G163" s="38" t="s">
        <v>9272</v>
      </c>
      <c r="H163" s="38" t="s">
        <v>9272</v>
      </c>
      <c r="I163" s="35" t="s">
        <v>10065</v>
      </c>
      <c r="J163" s="36" t="s">
        <v>175</v>
      </c>
    </row>
    <row r="164" spans="1:10" x14ac:dyDescent="0.25">
      <c r="A164" s="31" t="s">
        <v>175</v>
      </c>
      <c r="B164" s="31">
        <v>4.0601000000000003</v>
      </c>
      <c r="C164" s="32" t="s">
        <v>10066</v>
      </c>
      <c r="D164" s="31" t="s">
        <v>10040</v>
      </c>
      <c r="E164" s="40" t="s">
        <v>10067</v>
      </c>
      <c r="F164" s="38" t="s">
        <v>8873</v>
      </c>
      <c r="G164" s="38" t="s">
        <v>9272</v>
      </c>
      <c r="H164" s="38"/>
      <c r="I164" s="35" t="s">
        <v>10065</v>
      </c>
      <c r="J164" s="36" t="s">
        <v>175</v>
      </c>
    </row>
    <row r="165" spans="1:10" x14ac:dyDescent="0.25">
      <c r="A165" s="31" t="s">
        <v>1828</v>
      </c>
      <c r="B165" s="31">
        <v>4.08</v>
      </c>
      <c r="C165" s="32" t="s">
        <v>10068</v>
      </c>
      <c r="D165" s="31" t="s">
        <v>10040</v>
      </c>
      <c r="E165" s="40" t="s">
        <v>9273</v>
      </c>
      <c r="F165" s="38" t="s">
        <v>8873</v>
      </c>
      <c r="G165" s="38" t="s">
        <v>9273</v>
      </c>
      <c r="H165" s="38" t="s">
        <v>9273</v>
      </c>
      <c r="I165" s="35" t="s">
        <v>10068</v>
      </c>
      <c r="J165" s="36" t="s">
        <v>1828</v>
      </c>
    </row>
    <row r="166" spans="1:10" x14ac:dyDescent="0.25">
      <c r="A166" s="31" t="s">
        <v>1829</v>
      </c>
      <c r="B166" s="31">
        <v>4.0800999999999998</v>
      </c>
      <c r="C166" s="32" t="s">
        <v>10069</v>
      </c>
      <c r="D166" s="31" t="s">
        <v>10040</v>
      </c>
      <c r="E166" s="40" t="s">
        <v>10070</v>
      </c>
      <c r="F166" s="38" t="s">
        <v>8873</v>
      </c>
      <c r="G166" s="38" t="s">
        <v>9273</v>
      </c>
      <c r="H166" s="38"/>
      <c r="I166" s="35" t="s">
        <v>10068</v>
      </c>
      <c r="J166" s="36" t="s">
        <v>1829</v>
      </c>
    </row>
    <row r="167" spans="1:10" x14ac:dyDescent="0.25">
      <c r="A167" s="31" t="s">
        <v>1830</v>
      </c>
      <c r="B167" s="31">
        <v>4.0801999999999996</v>
      </c>
      <c r="C167" s="32" t="s">
        <v>10071</v>
      </c>
      <c r="D167" s="31" t="s">
        <v>10040</v>
      </c>
      <c r="E167" s="40" t="s">
        <v>10072</v>
      </c>
      <c r="F167" s="38" t="s">
        <v>8873</v>
      </c>
      <c r="G167" s="38" t="s">
        <v>9273</v>
      </c>
      <c r="H167" s="38"/>
      <c r="I167" s="35" t="s">
        <v>10068</v>
      </c>
      <c r="J167" s="36" t="s">
        <v>1830</v>
      </c>
    </row>
    <row r="168" spans="1:10" x14ac:dyDescent="0.25">
      <c r="A168" s="31" t="s">
        <v>1831</v>
      </c>
      <c r="B168" s="31">
        <v>4.0803000000000003</v>
      </c>
      <c r="C168" s="32" t="s">
        <v>10073</v>
      </c>
      <c r="D168" s="31" t="s">
        <v>10040</v>
      </c>
      <c r="E168" s="40" t="s">
        <v>10074</v>
      </c>
      <c r="F168" s="38" t="s">
        <v>8873</v>
      </c>
      <c r="G168" s="38" t="s">
        <v>9273</v>
      </c>
      <c r="H168" s="38"/>
      <c r="I168" s="35" t="s">
        <v>10068</v>
      </c>
      <c r="J168" s="36" t="s">
        <v>1831</v>
      </c>
    </row>
    <row r="169" spans="1:10" x14ac:dyDescent="0.25">
      <c r="A169" s="31" t="s">
        <v>1832</v>
      </c>
      <c r="B169" s="31">
        <v>4.0899000000000001</v>
      </c>
      <c r="C169" s="32" t="s">
        <v>10075</v>
      </c>
      <c r="D169" s="31" t="s">
        <v>10040</v>
      </c>
      <c r="E169" s="40" t="s">
        <v>10076</v>
      </c>
      <c r="F169" s="38" t="s">
        <v>8873</v>
      </c>
      <c r="G169" s="38" t="s">
        <v>9273</v>
      </c>
      <c r="H169" s="38"/>
      <c r="I169" s="35" t="s">
        <v>10068</v>
      </c>
      <c r="J169" s="36" t="s">
        <v>1832</v>
      </c>
    </row>
    <row r="170" spans="1:10" x14ac:dyDescent="0.25">
      <c r="A170" s="31" t="s">
        <v>176</v>
      </c>
      <c r="B170" s="31">
        <v>4.09</v>
      </c>
      <c r="C170" s="32" t="s">
        <v>10077</v>
      </c>
      <c r="D170" s="31" t="s">
        <v>10040</v>
      </c>
      <c r="E170" s="40" t="s">
        <v>9274</v>
      </c>
      <c r="F170" s="38" t="s">
        <v>8873</v>
      </c>
      <c r="G170" s="38" t="s">
        <v>9274</v>
      </c>
      <c r="H170" s="38" t="s">
        <v>9274</v>
      </c>
      <c r="I170" s="35" t="s">
        <v>10077</v>
      </c>
      <c r="J170" s="36" t="s">
        <v>176</v>
      </c>
    </row>
    <row r="171" spans="1:10" x14ac:dyDescent="0.25">
      <c r="A171" s="31" t="s">
        <v>177</v>
      </c>
      <c r="B171" s="31">
        <v>4.0900999999999996</v>
      </c>
      <c r="C171" s="32" t="s">
        <v>10078</v>
      </c>
      <c r="D171" s="31" t="s">
        <v>10040</v>
      </c>
      <c r="E171" s="40" t="s">
        <v>10079</v>
      </c>
      <c r="F171" s="38" t="s">
        <v>8873</v>
      </c>
      <c r="G171" s="38" t="s">
        <v>9274</v>
      </c>
      <c r="H171" s="38"/>
      <c r="I171" s="35" t="s">
        <v>10077</v>
      </c>
      <c r="J171" s="36" t="s">
        <v>177</v>
      </c>
    </row>
    <row r="172" spans="1:10" x14ac:dyDescent="0.25">
      <c r="A172" s="31" t="s">
        <v>178</v>
      </c>
      <c r="B172" s="31">
        <v>4.0902000000000003</v>
      </c>
      <c r="C172" s="32" t="s">
        <v>10080</v>
      </c>
      <c r="D172" s="31" t="s">
        <v>10040</v>
      </c>
      <c r="E172" s="40" t="s">
        <v>10081</v>
      </c>
      <c r="F172" s="38" t="s">
        <v>8873</v>
      </c>
      <c r="G172" s="38" t="s">
        <v>9274</v>
      </c>
      <c r="H172" s="38"/>
      <c r="I172" s="35" t="s">
        <v>10077</v>
      </c>
      <c r="J172" s="36" t="s">
        <v>178</v>
      </c>
    </row>
    <row r="173" spans="1:10" x14ac:dyDescent="0.25">
      <c r="A173" s="31" t="s">
        <v>179</v>
      </c>
      <c r="B173" s="31">
        <v>4.0998999999999999</v>
      </c>
      <c r="C173" s="32" t="s">
        <v>10082</v>
      </c>
      <c r="D173" s="31" t="s">
        <v>10040</v>
      </c>
      <c r="E173" s="40" t="s">
        <v>10083</v>
      </c>
      <c r="F173" s="38" t="s">
        <v>8873</v>
      </c>
      <c r="G173" s="38" t="s">
        <v>9274</v>
      </c>
      <c r="H173" s="38"/>
      <c r="I173" s="35" t="s">
        <v>10077</v>
      </c>
      <c r="J173" s="36" t="s">
        <v>179</v>
      </c>
    </row>
    <row r="174" spans="1:10" x14ac:dyDescent="0.25">
      <c r="A174" s="31" t="s">
        <v>180</v>
      </c>
      <c r="B174" s="31">
        <v>4.0999999999999996</v>
      </c>
      <c r="C174" s="32" t="s">
        <v>10084</v>
      </c>
      <c r="D174" s="31" t="s">
        <v>10040</v>
      </c>
      <c r="E174" s="40" t="s">
        <v>9275</v>
      </c>
      <c r="F174" s="38" t="s">
        <v>8873</v>
      </c>
      <c r="G174" s="38" t="s">
        <v>9275</v>
      </c>
      <c r="H174" s="38" t="s">
        <v>9275</v>
      </c>
      <c r="I174" s="35" t="s">
        <v>10084</v>
      </c>
      <c r="J174" s="36" t="s">
        <v>180</v>
      </c>
    </row>
    <row r="175" spans="1:10" x14ac:dyDescent="0.25">
      <c r="A175" s="31" t="s">
        <v>180</v>
      </c>
      <c r="B175" s="31">
        <v>4.1001000000000003</v>
      </c>
      <c r="C175" s="32" t="s">
        <v>10085</v>
      </c>
      <c r="D175" s="31" t="s">
        <v>10040</v>
      </c>
      <c r="E175" s="40" t="s">
        <v>10086</v>
      </c>
      <c r="F175" s="38" t="s">
        <v>8873</v>
      </c>
      <c r="G175" s="38" t="s">
        <v>9275</v>
      </c>
      <c r="H175" s="38"/>
      <c r="I175" s="35" t="s">
        <v>10084</v>
      </c>
      <c r="J175" s="36" t="s">
        <v>180</v>
      </c>
    </row>
    <row r="176" spans="1:10" x14ac:dyDescent="0.25">
      <c r="A176" s="31" t="s">
        <v>181</v>
      </c>
      <c r="B176" s="31">
        <v>4.99</v>
      </c>
      <c r="C176" s="32" t="s">
        <v>10087</v>
      </c>
      <c r="D176" s="31" t="s">
        <v>10040</v>
      </c>
      <c r="E176" s="40" t="s">
        <v>9276</v>
      </c>
      <c r="F176" s="38" t="s">
        <v>8873</v>
      </c>
      <c r="G176" s="38" t="s">
        <v>9276</v>
      </c>
      <c r="H176" s="38" t="s">
        <v>9276</v>
      </c>
      <c r="I176" s="35" t="s">
        <v>10087</v>
      </c>
      <c r="J176" s="36" t="s">
        <v>181</v>
      </c>
    </row>
    <row r="177" spans="1:10" x14ac:dyDescent="0.25">
      <c r="A177" s="31" t="s">
        <v>181</v>
      </c>
      <c r="B177" s="31">
        <v>4.9999000000000002</v>
      </c>
      <c r="C177" s="32" t="s">
        <v>10088</v>
      </c>
      <c r="D177" s="31" t="s">
        <v>10040</v>
      </c>
      <c r="E177" s="40" t="s">
        <v>10089</v>
      </c>
      <c r="F177" s="38" t="s">
        <v>8873</v>
      </c>
      <c r="G177" s="38" t="s">
        <v>9276</v>
      </c>
      <c r="H177" s="38"/>
      <c r="I177" s="35" t="s">
        <v>10087</v>
      </c>
      <c r="J177" s="36" t="s">
        <v>181</v>
      </c>
    </row>
    <row r="178" spans="1:10" x14ac:dyDescent="0.25">
      <c r="A178" s="31" t="s">
        <v>182</v>
      </c>
      <c r="B178" s="31">
        <v>5</v>
      </c>
      <c r="C178" s="32" t="s">
        <v>10090</v>
      </c>
      <c r="D178" s="31" t="s">
        <v>10090</v>
      </c>
      <c r="E178" s="40" t="s">
        <v>9277</v>
      </c>
      <c r="F178" s="38" t="s">
        <v>8883</v>
      </c>
      <c r="G178" s="38" t="s">
        <v>9277</v>
      </c>
      <c r="H178" s="38" t="s">
        <v>9277</v>
      </c>
      <c r="I178" s="35" t="s">
        <v>10090</v>
      </c>
      <c r="J178" s="36" t="s">
        <v>182</v>
      </c>
    </row>
    <row r="179" spans="1:10" x14ac:dyDescent="0.25">
      <c r="A179" s="31" t="s">
        <v>183</v>
      </c>
      <c r="B179" s="31">
        <v>5.01</v>
      </c>
      <c r="C179" s="32" t="s">
        <v>10091</v>
      </c>
      <c r="D179" s="31" t="s">
        <v>10090</v>
      </c>
      <c r="E179" s="40" t="s">
        <v>9278</v>
      </c>
      <c r="F179" s="38" t="s">
        <v>8883</v>
      </c>
      <c r="G179" s="38" t="s">
        <v>9278</v>
      </c>
      <c r="H179" s="38" t="s">
        <v>9278</v>
      </c>
      <c r="I179" s="35" t="s">
        <v>10091</v>
      </c>
      <c r="J179" s="36" t="s">
        <v>183</v>
      </c>
    </row>
    <row r="180" spans="1:10" x14ac:dyDescent="0.25">
      <c r="A180" s="31" t="s">
        <v>184</v>
      </c>
      <c r="B180" s="31">
        <v>5.0101000000000004</v>
      </c>
      <c r="C180" s="32" t="s">
        <v>10092</v>
      </c>
      <c r="D180" s="31" t="s">
        <v>10090</v>
      </c>
      <c r="E180" s="40" t="s">
        <v>10093</v>
      </c>
      <c r="F180" s="38" t="s">
        <v>8883</v>
      </c>
      <c r="G180" s="38" t="s">
        <v>9278</v>
      </c>
      <c r="H180" s="38"/>
      <c r="I180" s="35" t="s">
        <v>10091</v>
      </c>
      <c r="J180" s="36" t="s">
        <v>184</v>
      </c>
    </row>
    <row r="181" spans="1:10" x14ac:dyDescent="0.25">
      <c r="A181" s="31" t="s">
        <v>185</v>
      </c>
      <c r="B181" s="31">
        <v>5.0102000000000002</v>
      </c>
      <c r="C181" s="32" t="s">
        <v>10094</v>
      </c>
      <c r="D181" s="31" t="s">
        <v>10090</v>
      </c>
      <c r="E181" s="40" t="s">
        <v>10095</v>
      </c>
      <c r="F181" s="38" t="s">
        <v>8883</v>
      </c>
      <c r="G181" s="38" t="s">
        <v>9278</v>
      </c>
      <c r="H181" s="38"/>
      <c r="I181" s="35" t="s">
        <v>10091</v>
      </c>
      <c r="J181" s="36" t="s">
        <v>185</v>
      </c>
    </row>
    <row r="182" spans="1:10" x14ac:dyDescent="0.25">
      <c r="A182" s="31" t="s">
        <v>186</v>
      </c>
      <c r="B182" s="31">
        <v>5.0103</v>
      </c>
      <c r="C182" s="32" t="s">
        <v>10096</v>
      </c>
      <c r="D182" s="31" t="s">
        <v>10090</v>
      </c>
      <c r="E182" s="40" t="s">
        <v>10097</v>
      </c>
      <c r="F182" s="38" t="s">
        <v>8883</v>
      </c>
      <c r="G182" s="38" t="s">
        <v>9278</v>
      </c>
      <c r="H182" s="38"/>
      <c r="I182" s="35" t="s">
        <v>10091</v>
      </c>
      <c r="J182" s="36" t="s">
        <v>186</v>
      </c>
    </row>
    <row r="183" spans="1:10" x14ac:dyDescent="0.25">
      <c r="A183" s="31" t="s">
        <v>187</v>
      </c>
      <c r="B183" s="31">
        <v>5.0103999999999997</v>
      </c>
      <c r="C183" s="32" t="s">
        <v>10098</v>
      </c>
      <c r="D183" s="31" t="s">
        <v>10090</v>
      </c>
      <c r="E183" s="40" t="s">
        <v>10099</v>
      </c>
      <c r="F183" s="38" t="s">
        <v>8883</v>
      </c>
      <c r="G183" s="38" t="s">
        <v>9278</v>
      </c>
      <c r="H183" s="38"/>
      <c r="I183" s="35" t="s">
        <v>10091</v>
      </c>
      <c r="J183" s="36" t="s">
        <v>187</v>
      </c>
    </row>
    <row r="184" spans="1:10" x14ac:dyDescent="0.25">
      <c r="A184" s="31" t="s">
        <v>188</v>
      </c>
      <c r="B184" s="31">
        <v>5.0105000000000004</v>
      </c>
      <c r="C184" s="32" t="s">
        <v>10100</v>
      </c>
      <c r="D184" s="31" t="s">
        <v>10090</v>
      </c>
      <c r="E184" s="40" t="s">
        <v>10101</v>
      </c>
      <c r="F184" s="38" t="s">
        <v>8883</v>
      </c>
      <c r="G184" s="38" t="s">
        <v>9278</v>
      </c>
      <c r="H184" s="38"/>
      <c r="I184" s="35" t="s">
        <v>10091</v>
      </c>
      <c r="J184" s="36" t="s">
        <v>188</v>
      </c>
    </row>
    <row r="185" spans="1:10" x14ac:dyDescent="0.25">
      <c r="A185" s="31" t="s">
        <v>189</v>
      </c>
      <c r="B185" s="31">
        <v>5.0106000000000002</v>
      </c>
      <c r="C185" s="32" t="s">
        <v>10102</v>
      </c>
      <c r="D185" s="31" t="s">
        <v>10090</v>
      </c>
      <c r="E185" s="40" t="s">
        <v>10103</v>
      </c>
      <c r="F185" s="38" t="s">
        <v>8883</v>
      </c>
      <c r="G185" s="38" t="s">
        <v>9278</v>
      </c>
      <c r="H185" s="38"/>
      <c r="I185" s="35" t="s">
        <v>10091</v>
      </c>
      <c r="J185" s="36" t="s">
        <v>189</v>
      </c>
    </row>
    <row r="186" spans="1:10" x14ac:dyDescent="0.25">
      <c r="A186" s="31" t="s">
        <v>190</v>
      </c>
      <c r="B186" s="31">
        <v>5.0106999999999999</v>
      </c>
      <c r="C186" s="32" t="s">
        <v>10104</v>
      </c>
      <c r="D186" s="31" t="s">
        <v>10090</v>
      </c>
      <c r="E186" s="40" t="s">
        <v>10105</v>
      </c>
      <c r="F186" s="38" t="s">
        <v>8883</v>
      </c>
      <c r="G186" s="38" t="s">
        <v>9278</v>
      </c>
      <c r="H186" s="38"/>
      <c r="I186" s="35" t="s">
        <v>10091</v>
      </c>
      <c r="J186" s="36" t="s">
        <v>190</v>
      </c>
    </row>
    <row r="187" spans="1:10" x14ac:dyDescent="0.25">
      <c r="A187" s="31" t="s">
        <v>191</v>
      </c>
      <c r="B187" s="31">
        <v>5.0107999999999997</v>
      </c>
      <c r="C187" s="32" t="s">
        <v>10106</v>
      </c>
      <c r="D187" s="31" t="s">
        <v>10090</v>
      </c>
      <c r="E187" s="40" t="s">
        <v>10107</v>
      </c>
      <c r="F187" s="38" t="s">
        <v>8883</v>
      </c>
      <c r="G187" s="38" t="s">
        <v>9278</v>
      </c>
      <c r="H187" s="38"/>
      <c r="I187" s="35" t="s">
        <v>10091</v>
      </c>
      <c r="J187" s="36" t="s">
        <v>191</v>
      </c>
    </row>
    <row r="188" spans="1:10" x14ac:dyDescent="0.25">
      <c r="A188" s="31" t="s">
        <v>192</v>
      </c>
      <c r="B188" s="31">
        <v>5.0109000000000004</v>
      </c>
      <c r="C188" s="32" t="s">
        <v>10108</v>
      </c>
      <c r="D188" s="31" t="s">
        <v>10090</v>
      </c>
      <c r="E188" s="40" t="s">
        <v>10109</v>
      </c>
      <c r="F188" s="38" t="s">
        <v>8883</v>
      </c>
      <c r="G188" s="38" t="s">
        <v>9278</v>
      </c>
      <c r="H188" s="38"/>
      <c r="I188" s="35" t="s">
        <v>10091</v>
      </c>
      <c r="J188" s="36" t="s">
        <v>192</v>
      </c>
    </row>
    <row r="189" spans="1:10" x14ac:dyDescent="0.25">
      <c r="A189" s="31" t="s">
        <v>193</v>
      </c>
      <c r="B189" s="31">
        <v>5.0110000000000001</v>
      </c>
      <c r="C189" s="32" t="s">
        <v>10110</v>
      </c>
      <c r="D189" s="31" t="s">
        <v>10090</v>
      </c>
      <c r="E189" s="40" t="s">
        <v>10111</v>
      </c>
      <c r="F189" s="38" t="s">
        <v>8883</v>
      </c>
      <c r="G189" s="38" t="s">
        <v>9278</v>
      </c>
      <c r="H189" s="38"/>
      <c r="I189" s="35" t="s">
        <v>10091</v>
      </c>
      <c r="J189" s="36" t="s">
        <v>193</v>
      </c>
    </row>
    <row r="190" spans="1:10" x14ac:dyDescent="0.25">
      <c r="A190" s="31" t="s">
        <v>194</v>
      </c>
      <c r="B190" s="31">
        <v>5.0110999999999999</v>
      </c>
      <c r="C190" s="32" t="s">
        <v>10112</v>
      </c>
      <c r="D190" s="31" t="s">
        <v>10090</v>
      </c>
      <c r="E190" s="40" t="s">
        <v>10113</v>
      </c>
      <c r="F190" s="38" t="s">
        <v>8883</v>
      </c>
      <c r="G190" s="38" t="s">
        <v>9278</v>
      </c>
      <c r="H190" s="38"/>
      <c r="I190" s="35" t="s">
        <v>10091</v>
      </c>
      <c r="J190" s="36" t="s">
        <v>194</v>
      </c>
    </row>
    <row r="191" spans="1:10" x14ac:dyDescent="0.25">
      <c r="A191" s="31" t="s">
        <v>195</v>
      </c>
      <c r="B191" s="31">
        <v>5.0111999999999997</v>
      </c>
      <c r="C191" s="32" t="s">
        <v>10114</v>
      </c>
      <c r="D191" s="31" t="s">
        <v>10090</v>
      </c>
      <c r="E191" s="40" t="s">
        <v>10115</v>
      </c>
      <c r="F191" s="38" t="s">
        <v>8883</v>
      </c>
      <c r="G191" s="38" t="s">
        <v>9278</v>
      </c>
      <c r="H191" s="38"/>
      <c r="I191" s="35" t="s">
        <v>10091</v>
      </c>
      <c r="J191" s="36" t="s">
        <v>195</v>
      </c>
    </row>
    <row r="192" spans="1:10" x14ac:dyDescent="0.25">
      <c r="A192" s="31" t="s">
        <v>196</v>
      </c>
      <c r="B192" s="31">
        <v>5.0113000000000003</v>
      </c>
      <c r="C192" s="32" t="s">
        <v>10116</v>
      </c>
      <c r="D192" s="31" t="s">
        <v>10090</v>
      </c>
      <c r="E192" s="40" t="s">
        <v>10117</v>
      </c>
      <c r="F192" s="38" t="s">
        <v>8883</v>
      </c>
      <c r="G192" s="38" t="s">
        <v>9278</v>
      </c>
      <c r="H192" s="38"/>
      <c r="I192" s="35" t="s">
        <v>10091</v>
      </c>
      <c r="J192" s="36" t="s">
        <v>196</v>
      </c>
    </row>
    <row r="193" spans="1:10" x14ac:dyDescent="0.25">
      <c r="A193" s="31" t="s">
        <v>197</v>
      </c>
      <c r="B193" s="31">
        <v>5.0114000000000001</v>
      </c>
      <c r="C193" s="32" t="s">
        <v>10118</v>
      </c>
      <c r="D193" s="31" t="s">
        <v>10090</v>
      </c>
      <c r="E193" s="40" t="s">
        <v>10119</v>
      </c>
      <c r="F193" s="38" t="s">
        <v>8883</v>
      </c>
      <c r="G193" s="38" t="s">
        <v>9278</v>
      </c>
      <c r="H193" s="38"/>
      <c r="I193" s="35" t="s">
        <v>10091</v>
      </c>
      <c r="J193" s="36" t="s">
        <v>197</v>
      </c>
    </row>
    <row r="194" spans="1:10" x14ac:dyDescent="0.25">
      <c r="A194" s="31" t="s">
        <v>198</v>
      </c>
      <c r="B194" s="31">
        <v>5.0114999999999998</v>
      </c>
      <c r="C194" s="32" t="s">
        <v>10120</v>
      </c>
      <c r="D194" s="31" t="s">
        <v>10090</v>
      </c>
      <c r="E194" s="40" t="s">
        <v>10121</v>
      </c>
      <c r="F194" s="38" t="s">
        <v>8883</v>
      </c>
      <c r="G194" s="38" t="s">
        <v>9278</v>
      </c>
      <c r="H194" s="38"/>
      <c r="I194" s="35" t="s">
        <v>10091</v>
      </c>
      <c r="J194" s="36" t="s">
        <v>198</v>
      </c>
    </row>
    <row r="195" spans="1:10" x14ac:dyDescent="0.25">
      <c r="A195" s="31" t="s">
        <v>199</v>
      </c>
      <c r="B195" s="31">
        <v>5.0115999999999996</v>
      </c>
      <c r="C195" s="32" t="s">
        <v>10122</v>
      </c>
      <c r="D195" s="31" t="s">
        <v>10090</v>
      </c>
      <c r="E195" s="40" t="s">
        <v>10123</v>
      </c>
      <c r="F195" s="38" t="s">
        <v>8883</v>
      </c>
      <c r="G195" s="38" t="s">
        <v>9278</v>
      </c>
      <c r="H195" s="38"/>
      <c r="I195" s="35" t="s">
        <v>10091</v>
      </c>
      <c r="J195" s="36" t="s">
        <v>199</v>
      </c>
    </row>
    <row r="196" spans="1:10" x14ac:dyDescent="0.25">
      <c r="A196" s="31" t="s">
        <v>200</v>
      </c>
      <c r="B196" s="31">
        <v>5.0117000000000003</v>
      </c>
      <c r="C196" s="32" t="s">
        <v>10124</v>
      </c>
      <c r="D196" s="31" t="s">
        <v>10090</v>
      </c>
      <c r="E196" s="40" t="s">
        <v>10125</v>
      </c>
      <c r="F196" s="38" t="s">
        <v>8883</v>
      </c>
      <c r="G196" s="38" t="s">
        <v>9278</v>
      </c>
      <c r="H196" s="38"/>
      <c r="I196" s="35" t="s">
        <v>10091</v>
      </c>
      <c r="J196" s="36" t="s">
        <v>200</v>
      </c>
    </row>
    <row r="197" spans="1:10" x14ac:dyDescent="0.25">
      <c r="A197" s="31" t="s">
        <v>201</v>
      </c>
      <c r="B197" s="31">
        <v>5.0118</v>
      </c>
      <c r="C197" s="32" t="s">
        <v>10126</v>
      </c>
      <c r="D197" s="31" t="s">
        <v>10090</v>
      </c>
      <c r="E197" s="40" t="s">
        <v>10127</v>
      </c>
      <c r="F197" s="38" t="s">
        <v>8883</v>
      </c>
      <c r="G197" s="38" t="s">
        <v>9278</v>
      </c>
      <c r="H197" s="38"/>
      <c r="I197" s="35" t="s">
        <v>10091</v>
      </c>
      <c r="J197" s="36" t="s">
        <v>201</v>
      </c>
    </row>
    <row r="198" spans="1:10" x14ac:dyDescent="0.25">
      <c r="A198" s="31" t="s">
        <v>202</v>
      </c>
      <c r="B198" s="31">
        <v>5.0118999999999998</v>
      </c>
      <c r="C198" s="32" t="s">
        <v>10128</v>
      </c>
      <c r="D198" s="31" t="s">
        <v>10090</v>
      </c>
      <c r="E198" s="40" t="s">
        <v>10129</v>
      </c>
      <c r="F198" s="38" t="s">
        <v>8883</v>
      </c>
      <c r="G198" s="38" t="s">
        <v>9278</v>
      </c>
      <c r="H198" s="38"/>
      <c r="I198" s="35" t="s">
        <v>10091</v>
      </c>
      <c r="J198" s="36" t="s">
        <v>202</v>
      </c>
    </row>
    <row r="199" spans="1:10" x14ac:dyDescent="0.25">
      <c r="A199" s="31" t="s">
        <v>203</v>
      </c>
      <c r="B199" s="31">
        <v>5.0119999999999996</v>
      </c>
      <c r="C199" s="32" t="s">
        <v>10130</v>
      </c>
      <c r="D199" s="31" t="s">
        <v>10090</v>
      </c>
      <c r="E199" s="40" t="s">
        <v>10131</v>
      </c>
      <c r="F199" s="38" t="s">
        <v>8883</v>
      </c>
      <c r="G199" s="38" t="s">
        <v>9278</v>
      </c>
      <c r="H199" s="38"/>
      <c r="I199" s="35" t="s">
        <v>10091</v>
      </c>
      <c r="J199" s="36" t="s">
        <v>203</v>
      </c>
    </row>
    <row r="200" spans="1:10" x14ac:dyDescent="0.25">
      <c r="A200" s="31" t="s">
        <v>204</v>
      </c>
      <c r="B200" s="31">
        <v>5.0121000000000002</v>
      </c>
      <c r="C200" s="32" t="s">
        <v>10132</v>
      </c>
      <c r="D200" s="31" t="s">
        <v>10090</v>
      </c>
      <c r="E200" s="40" t="s">
        <v>10133</v>
      </c>
      <c r="F200" s="38" t="s">
        <v>8883</v>
      </c>
      <c r="G200" s="38" t="s">
        <v>9278</v>
      </c>
      <c r="H200" s="38"/>
      <c r="I200" s="35" t="s">
        <v>10091</v>
      </c>
      <c r="J200" s="36" t="s">
        <v>204</v>
      </c>
    </row>
    <row r="201" spans="1:10" x14ac:dyDescent="0.25">
      <c r="A201" s="31" t="s">
        <v>1833</v>
      </c>
      <c r="B201" s="31">
        <v>5.0122</v>
      </c>
      <c r="C201" s="32" t="s">
        <v>10134</v>
      </c>
      <c r="D201" s="31" t="s">
        <v>10090</v>
      </c>
      <c r="E201" s="40" t="s">
        <v>10135</v>
      </c>
      <c r="F201" s="38" t="s">
        <v>8883</v>
      </c>
      <c r="G201" s="38" t="s">
        <v>9278</v>
      </c>
      <c r="H201" s="38"/>
      <c r="I201" s="35" t="s">
        <v>10091</v>
      </c>
      <c r="J201" s="36" t="s">
        <v>1833</v>
      </c>
    </row>
    <row r="202" spans="1:10" x14ac:dyDescent="0.25">
      <c r="A202" s="31" t="s">
        <v>205</v>
      </c>
      <c r="B202" s="31">
        <v>5.0122999999999998</v>
      </c>
      <c r="C202" s="32" t="s">
        <v>10136</v>
      </c>
      <c r="D202" s="31" t="s">
        <v>10090</v>
      </c>
      <c r="E202" s="40" t="s">
        <v>10137</v>
      </c>
      <c r="F202" s="38" t="s">
        <v>8883</v>
      </c>
      <c r="G202" s="38" t="s">
        <v>9278</v>
      </c>
      <c r="H202" s="38"/>
      <c r="I202" s="35" t="s">
        <v>10091</v>
      </c>
      <c r="J202" s="36" t="s">
        <v>205</v>
      </c>
    </row>
    <row r="203" spans="1:10" x14ac:dyDescent="0.25">
      <c r="A203" s="31" t="s">
        <v>206</v>
      </c>
      <c r="B203" s="31">
        <v>5.0124000000000004</v>
      </c>
      <c r="C203" s="32" t="s">
        <v>10138</v>
      </c>
      <c r="D203" s="31" t="s">
        <v>10090</v>
      </c>
      <c r="E203" s="40" t="s">
        <v>10139</v>
      </c>
      <c r="F203" s="38" t="s">
        <v>8883</v>
      </c>
      <c r="G203" s="38" t="s">
        <v>9278</v>
      </c>
      <c r="H203" s="38"/>
      <c r="I203" s="35" t="s">
        <v>10091</v>
      </c>
      <c r="J203" s="36" t="s">
        <v>206</v>
      </c>
    </row>
    <row r="204" spans="1:10" x14ac:dyDescent="0.25">
      <c r="A204" s="31" t="s">
        <v>207</v>
      </c>
      <c r="B204" s="31">
        <v>5.0125000000000002</v>
      </c>
      <c r="C204" s="32" t="s">
        <v>10140</v>
      </c>
      <c r="D204" s="31" t="s">
        <v>10090</v>
      </c>
      <c r="E204" s="40" t="s">
        <v>10141</v>
      </c>
      <c r="F204" s="38" t="s">
        <v>8883</v>
      </c>
      <c r="G204" s="38" t="s">
        <v>9278</v>
      </c>
      <c r="H204" s="38"/>
      <c r="I204" s="35" t="s">
        <v>10091</v>
      </c>
      <c r="J204" s="36" t="s">
        <v>207</v>
      </c>
    </row>
    <row r="205" spans="1:10" x14ac:dyDescent="0.25">
      <c r="A205" s="31" t="s">
        <v>208</v>
      </c>
      <c r="B205" s="31">
        <v>5.0125999999999999</v>
      </c>
      <c r="C205" s="32" t="s">
        <v>10142</v>
      </c>
      <c r="D205" s="31" t="s">
        <v>10090</v>
      </c>
      <c r="E205" s="40" t="s">
        <v>10143</v>
      </c>
      <c r="F205" s="38" t="s">
        <v>8883</v>
      </c>
      <c r="G205" s="38" t="s">
        <v>9278</v>
      </c>
      <c r="H205" s="38"/>
      <c r="I205" s="35" t="s">
        <v>10091</v>
      </c>
      <c r="J205" s="36" t="s">
        <v>208</v>
      </c>
    </row>
    <row r="206" spans="1:10" x14ac:dyDescent="0.25">
      <c r="A206" s="31" t="s">
        <v>209</v>
      </c>
      <c r="B206" s="31">
        <v>5.0126999999999997</v>
      </c>
      <c r="C206" s="32" t="s">
        <v>10144</v>
      </c>
      <c r="D206" s="31" t="s">
        <v>10090</v>
      </c>
      <c r="E206" s="40" t="s">
        <v>10145</v>
      </c>
      <c r="F206" s="38" t="s">
        <v>8883</v>
      </c>
      <c r="G206" s="38" t="s">
        <v>9278</v>
      </c>
      <c r="H206" s="38"/>
      <c r="I206" s="35" t="s">
        <v>10091</v>
      </c>
      <c r="J206" s="36" t="s">
        <v>209</v>
      </c>
    </row>
    <row r="207" spans="1:10" x14ac:dyDescent="0.25">
      <c r="A207" s="31" t="s">
        <v>210</v>
      </c>
      <c r="B207" s="31">
        <v>5.0128000000000004</v>
      </c>
      <c r="C207" s="32" t="s">
        <v>10146</v>
      </c>
      <c r="D207" s="31" t="s">
        <v>10090</v>
      </c>
      <c r="E207" s="40" t="s">
        <v>10147</v>
      </c>
      <c r="F207" s="38" t="s">
        <v>8883</v>
      </c>
      <c r="G207" s="38" t="s">
        <v>9278</v>
      </c>
      <c r="H207" s="38"/>
      <c r="I207" s="35" t="s">
        <v>10091</v>
      </c>
      <c r="J207" s="36" t="s">
        <v>210</v>
      </c>
    </row>
    <row r="208" spans="1:10" x14ac:dyDescent="0.25">
      <c r="A208" s="31" t="s">
        <v>211</v>
      </c>
      <c r="B208" s="31">
        <v>5.0129000000000001</v>
      </c>
      <c r="C208" s="32" t="s">
        <v>10148</v>
      </c>
      <c r="D208" s="31" t="s">
        <v>10090</v>
      </c>
      <c r="E208" s="40" t="s">
        <v>10149</v>
      </c>
      <c r="F208" s="38" t="s">
        <v>8883</v>
      </c>
      <c r="G208" s="38" t="s">
        <v>9278</v>
      </c>
      <c r="H208" s="38"/>
      <c r="I208" s="35" t="s">
        <v>10091</v>
      </c>
      <c r="J208" s="36" t="s">
        <v>211</v>
      </c>
    </row>
    <row r="209" spans="1:10" x14ac:dyDescent="0.25">
      <c r="A209" s="31" t="s">
        <v>212</v>
      </c>
      <c r="B209" s="31">
        <v>5.0129999999999999</v>
      </c>
      <c r="C209" s="32" t="s">
        <v>10150</v>
      </c>
      <c r="D209" s="31" t="s">
        <v>10090</v>
      </c>
      <c r="E209" s="40" t="s">
        <v>10151</v>
      </c>
      <c r="F209" s="38" t="s">
        <v>8883</v>
      </c>
      <c r="G209" s="38" t="s">
        <v>9278</v>
      </c>
      <c r="H209" s="38"/>
      <c r="I209" s="35" t="s">
        <v>10091</v>
      </c>
      <c r="J209" s="36" t="s">
        <v>212</v>
      </c>
    </row>
    <row r="210" spans="1:10" x14ac:dyDescent="0.25">
      <c r="A210" s="31" t="s">
        <v>213</v>
      </c>
      <c r="B210" s="31">
        <v>5.0130999999999997</v>
      </c>
      <c r="C210" s="32" t="s">
        <v>10152</v>
      </c>
      <c r="D210" s="31" t="s">
        <v>10090</v>
      </c>
      <c r="E210" s="40" t="s">
        <v>10153</v>
      </c>
      <c r="F210" s="38" t="s">
        <v>8883</v>
      </c>
      <c r="G210" s="38" t="s">
        <v>9278</v>
      </c>
      <c r="H210" s="38"/>
      <c r="I210" s="35" t="s">
        <v>10091</v>
      </c>
      <c r="J210" s="36" t="s">
        <v>213</v>
      </c>
    </row>
    <row r="211" spans="1:10" x14ac:dyDescent="0.25">
      <c r="A211" s="31" t="s">
        <v>214</v>
      </c>
      <c r="B211" s="31">
        <v>5.0132000000000003</v>
      </c>
      <c r="C211" s="32" t="s">
        <v>10154</v>
      </c>
      <c r="D211" s="31" t="s">
        <v>10090</v>
      </c>
      <c r="E211" s="40" t="s">
        <v>10155</v>
      </c>
      <c r="F211" s="38" t="s">
        <v>8883</v>
      </c>
      <c r="G211" s="38" t="s">
        <v>9278</v>
      </c>
      <c r="H211" s="38"/>
      <c r="I211" s="35" t="s">
        <v>10091</v>
      </c>
      <c r="J211" s="36" t="s">
        <v>214</v>
      </c>
    </row>
    <row r="212" spans="1:10" x14ac:dyDescent="0.25">
      <c r="A212" s="31" t="s">
        <v>215</v>
      </c>
      <c r="B212" s="31">
        <v>5.0133000000000001</v>
      </c>
      <c r="C212" s="32" t="s">
        <v>10156</v>
      </c>
      <c r="D212" s="31" t="s">
        <v>10090</v>
      </c>
      <c r="E212" s="40" t="s">
        <v>10157</v>
      </c>
      <c r="F212" s="38" t="s">
        <v>8883</v>
      </c>
      <c r="G212" s="38" t="s">
        <v>9278</v>
      </c>
      <c r="H212" s="38"/>
      <c r="I212" s="35" t="s">
        <v>10091</v>
      </c>
      <c r="J212" s="36" t="s">
        <v>215</v>
      </c>
    </row>
    <row r="213" spans="1:10" x14ac:dyDescent="0.25">
      <c r="A213" s="31" t="s">
        <v>216</v>
      </c>
      <c r="B213" s="31">
        <v>5.0133999999999999</v>
      </c>
      <c r="C213" s="32" t="s">
        <v>10158</v>
      </c>
      <c r="D213" s="31" t="s">
        <v>10090</v>
      </c>
      <c r="E213" s="40" t="s">
        <v>10159</v>
      </c>
      <c r="F213" s="38" t="s">
        <v>8883</v>
      </c>
      <c r="G213" s="38" t="s">
        <v>9278</v>
      </c>
      <c r="H213" s="38"/>
      <c r="I213" s="35" t="s">
        <v>10091</v>
      </c>
      <c r="J213" s="36" t="s">
        <v>216</v>
      </c>
    </row>
    <row r="214" spans="1:10" x14ac:dyDescent="0.25">
      <c r="A214" s="31" t="s">
        <v>1834</v>
      </c>
      <c r="B214" s="31">
        <v>5.0134999999999996</v>
      </c>
      <c r="C214" s="32" t="s">
        <v>10160</v>
      </c>
      <c r="D214" s="31" t="s">
        <v>10090</v>
      </c>
      <c r="E214" s="40" t="s">
        <v>10161</v>
      </c>
      <c r="F214" s="38" t="s">
        <v>8883</v>
      </c>
      <c r="G214" s="38" t="s">
        <v>9278</v>
      </c>
      <c r="H214" s="38"/>
      <c r="I214" s="35" t="s">
        <v>10091</v>
      </c>
      <c r="J214" s="36" t="s">
        <v>1834</v>
      </c>
    </row>
    <row r="215" spans="1:10" x14ac:dyDescent="0.25">
      <c r="A215" s="31" t="s">
        <v>1835</v>
      </c>
      <c r="B215" s="31">
        <v>5.0136000000000003</v>
      </c>
      <c r="C215" s="32" t="s">
        <v>10162</v>
      </c>
      <c r="D215" s="31" t="s">
        <v>10090</v>
      </c>
      <c r="E215" s="40" t="s">
        <v>10163</v>
      </c>
      <c r="F215" s="38" t="s">
        <v>8883</v>
      </c>
      <c r="G215" s="38" t="s">
        <v>9278</v>
      </c>
      <c r="H215" s="38"/>
      <c r="I215" s="35" t="s">
        <v>10091</v>
      </c>
      <c r="J215" s="36" t="s">
        <v>1835</v>
      </c>
    </row>
    <row r="216" spans="1:10" x14ac:dyDescent="0.25">
      <c r="A216" s="31" t="s">
        <v>217</v>
      </c>
      <c r="B216" s="31">
        <v>5.0198999999999998</v>
      </c>
      <c r="C216" s="32" t="s">
        <v>10164</v>
      </c>
      <c r="D216" s="31" t="s">
        <v>10090</v>
      </c>
      <c r="E216" s="40" t="s">
        <v>10165</v>
      </c>
      <c r="F216" s="38" t="s">
        <v>8883</v>
      </c>
      <c r="G216" s="38" t="s">
        <v>9278</v>
      </c>
      <c r="H216" s="38"/>
      <c r="I216" s="35" t="s">
        <v>10091</v>
      </c>
      <c r="J216" s="36" t="s">
        <v>217</v>
      </c>
    </row>
    <row r="217" spans="1:10" x14ac:dyDescent="0.25">
      <c r="A217" s="31" t="s">
        <v>219</v>
      </c>
      <c r="B217" s="31">
        <v>5.0199999999999996</v>
      </c>
      <c r="C217" s="32" t="s">
        <v>10166</v>
      </c>
      <c r="D217" s="31" t="s">
        <v>10090</v>
      </c>
      <c r="E217" s="40" t="s">
        <v>10167</v>
      </c>
      <c r="F217" s="38" t="s">
        <v>8883</v>
      </c>
      <c r="G217" s="38" t="s">
        <v>9279</v>
      </c>
      <c r="H217" s="38"/>
      <c r="I217" s="35" t="s">
        <v>10168</v>
      </c>
      <c r="J217" s="36" t="s">
        <v>219</v>
      </c>
    </row>
    <row r="218" spans="1:10" x14ac:dyDescent="0.25">
      <c r="A218" s="31" t="s">
        <v>218</v>
      </c>
      <c r="B218" s="31">
        <v>5.0199999999999996</v>
      </c>
      <c r="C218" s="32" t="s">
        <v>10168</v>
      </c>
      <c r="D218" s="31" t="s">
        <v>10090</v>
      </c>
      <c r="E218" s="40" t="s">
        <v>9279</v>
      </c>
      <c r="F218" s="38" t="s">
        <v>8883</v>
      </c>
      <c r="G218" s="38" t="s">
        <v>9279</v>
      </c>
      <c r="H218" s="38" t="s">
        <v>9279</v>
      </c>
      <c r="I218" s="35" t="s">
        <v>10168</v>
      </c>
      <c r="J218" s="36" t="s">
        <v>218</v>
      </c>
    </row>
    <row r="219" spans="1:10" x14ac:dyDescent="0.25">
      <c r="A219" s="31" t="s">
        <v>220</v>
      </c>
      <c r="B219" s="31">
        <v>5.0201000000000002</v>
      </c>
      <c r="C219" s="32" t="s">
        <v>10169</v>
      </c>
      <c r="D219" s="31" t="s">
        <v>10090</v>
      </c>
      <c r="E219" s="40" t="s">
        <v>10170</v>
      </c>
      <c r="F219" s="38" t="s">
        <v>8883</v>
      </c>
      <c r="G219" s="38" t="s">
        <v>9279</v>
      </c>
      <c r="H219" s="38"/>
      <c r="I219" s="35" t="s">
        <v>10168</v>
      </c>
      <c r="J219" s="36" t="s">
        <v>220</v>
      </c>
    </row>
    <row r="220" spans="1:10" x14ac:dyDescent="0.25">
      <c r="A220" s="31" t="s">
        <v>221</v>
      </c>
      <c r="B220" s="31">
        <v>5.0202</v>
      </c>
      <c r="C220" s="32" t="s">
        <v>10171</v>
      </c>
      <c r="D220" s="31" t="s">
        <v>10090</v>
      </c>
      <c r="E220" s="40" t="s">
        <v>10172</v>
      </c>
      <c r="F220" s="38" t="s">
        <v>8883</v>
      </c>
      <c r="G220" s="38" t="s">
        <v>9279</v>
      </c>
      <c r="H220" s="38"/>
      <c r="I220" s="35" t="s">
        <v>10168</v>
      </c>
      <c r="J220" s="36" t="s">
        <v>221</v>
      </c>
    </row>
    <row r="221" spans="1:10" x14ac:dyDescent="0.25">
      <c r="A221" s="31" t="s">
        <v>222</v>
      </c>
      <c r="B221" s="31">
        <v>5.0202999999999998</v>
      </c>
      <c r="C221" s="32" t="s">
        <v>10173</v>
      </c>
      <c r="D221" s="31" t="s">
        <v>10090</v>
      </c>
      <c r="E221" s="40" t="s">
        <v>10174</v>
      </c>
      <c r="F221" s="38" t="s">
        <v>8883</v>
      </c>
      <c r="G221" s="38" t="s">
        <v>9279</v>
      </c>
      <c r="H221" s="38"/>
      <c r="I221" s="35" t="s">
        <v>10168</v>
      </c>
      <c r="J221" s="36" t="s">
        <v>222</v>
      </c>
    </row>
    <row r="222" spans="1:10" x14ac:dyDescent="0.25">
      <c r="A222" s="31" t="s">
        <v>223</v>
      </c>
      <c r="B222" s="31">
        <v>5.0206</v>
      </c>
      <c r="C222" s="32" t="s">
        <v>10175</v>
      </c>
      <c r="D222" s="31" t="s">
        <v>10090</v>
      </c>
      <c r="E222" s="40" t="s">
        <v>10176</v>
      </c>
      <c r="F222" s="38" t="s">
        <v>8883</v>
      </c>
      <c r="G222" s="38" t="s">
        <v>9279</v>
      </c>
      <c r="H222" s="38"/>
      <c r="I222" s="35" t="s">
        <v>10168</v>
      </c>
      <c r="J222" s="36" t="s">
        <v>223</v>
      </c>
    </row>
    <row r="223" spans="1:10" x14ac:dyDescent="0.25">
      <c r="A223" s="31" t="s">
        <v>224</v>
      </c>
      <c r="B223" s="31">
        <v>5.0206999999999997</v>
      </c>
      <c r="C223" s="32" t="s">
        <v>10177</v>
      </c>
      <c r="D223" s="31" t="s">
        <v>10090</v>
      </c>
      <c r="E223" s="40" t="s">
        <v>10178</v>
      </c>
      <c r="F223" s="38" t="s">
        <v>8883</v>
      </c>
      <c r="G223" s="38" t="s">
        <v>9279</v>
      </c>
      <c r="H223" s="38"/>
      <c r="I223" s="35" t="s">
        <v>10168</v>
      </c>
      <c r="J223" s="36" t="s">
        <v>224</v>
      </c>
    </row>
    <row r="224" spans="1:10" x14ac:dyDescent="0.25">
      <c r="A224" s="31" t="s">
        <v>225</v>
      </c>
      <c r="B224" s="31">
        <v>5.0208000000000004</v>
      </c>
      <c r="C224" s="32" t="s">
        <v>10179</v>
      </c>
      <c r="D224" s="31" t="s">
        <v>10090</v>
      </c>
      <c r="E224" s="40" t="s">
        <v>10180</v>
      </c>
      <c r="F224" s="38" t="s">
        <v>8883</v>
      </c>
      <c r="G224" s="38" t="s">
        <v>9279</v>
      </c>
      <c r="H224" s="38"/>
      <c r="I224" s="35" t="s">
        <v>10168</v>
      </c>
      <c r="J224" s="36" t="s">
        <v>225</v>
      </c>
    </row>
    <row r="225" spans="1:10" x14ac:dyDescent="0.25">
      <c r="A225" s="31" t="s">
        <v>226</v>
      </c>
      <c r="B225" s="31">
        <v>5.0209000000000001</v>
      </c>
      <c r="C225" s="32" t="s">
        <v>10181</v>
      </c>
      <c r="D225" s="31" t="s">
        <v>10090</v>
      </c>
      <c r="E225" s="40" t="s">
        <v>10182</v>
      </c>
      <c r="F225" s="38" t="s">
        <v>8883</v>
      </c>
      <c r="G225" s="38" t="s">
        <v>9279</v>
      </c>
      <c r="H225" s="38"/>
      <c r="I225" s="35" t="s">
        <v>10168</v>
      </c>
      <c r="J225" s="36" t="s">
        <v>226</v>
      </c>
    </row>
    <row r="226" spans="1:10" x14ac:dyDescent="0.25">
      <c r="A226" s="31" t="s">
        <v>227</v>
      </c>
      <c r="B226" s="31">
        <v>5.0209999999999999</v>
      </c>
      <c r="C226" s="32" t="s">
        <v>10183</v>
      </c>
      <c r="D226" s="31" t="s">
        <v>10090</v>
      </c>
      <c r="E226" s="40" t="s">
        <v>10184</v>
      </c>
      <c r="F226" s="38" t="s">
        <v>8883</v>
      </c>
      <c r="G226" s="38" t="s">
        <v>9279</v>
      </c>
      <c r="H226" s="38"/>
      <c r="I226" s="35" t="s">
        <v>10168</v>
      </c>
      <c r="J226" s="36" t="s">
        <v>227</v>
      </c>
    </row>
    <row r="227" spans="1:10" x14ac:dyDescent="0.25">
      <c r="A227" s="31" t="s">
        <v>228</v>
      </c>
      <c r="B227" s="31">
        <v>5.0210999999999997</v>
      </c>
      <c r="C227" s="32" t="s">
        <v>10185</v>
      </c>
      <c r="D227" s="31" t="s">
        <v>10090</v>
      </c>
      <c r="E227" s="40" t="s">
        <v>10186</v>
      </c>
      <c r="F227" s="38" t="s">
        <v>8883</v>
      </c>
      <c r="G227" s="38" t="s">
        <v>9279</v>
      </c>
      <c r="H227" s="38"/>
      <c r="I227" s="35" t="s">
        <v>10168</v>
      </c>
      <c r="J227" s="36" t="s">
        <v>228</v>
      </c>
    </row>
    <row r="228" spans="1:10" x14ac:dyDescent="0.25">
      <c r="A228" s="31" t="s">
        <v>1836</v>
      </c>
      <c r="B228" s="31">
        <v>5.0212000000000003</v>
      </c>
      <c r="C228" s="32" t="s">
        <v>10187</v>
      </c>
      <c r="D228" s="31" t="s">
        <v>10090</v>
      </c>
      <c r="E228" s="40" t="s">
        <v>10188</v>
      </c>
      <c r="F228" s="38" t="s">
        <v>8883</v>
      </c>
      <c r="G228" s="38" t="s">
        <v>9279</v>
      </c>
      <c r="H228" s="38"/>
      <c r="I228" s="35" t="s">
        <v>10168</v>
      </c>
      <c r="J228" s="36" t="s">
        <v>1836</v>
      </c>
    </row>
    <row r="229" spans="1:10" x14ac:dyDescent="0.25">
      <c r="A229" s="31" t="s">
        <v>229</v>
      </c>
      <c r="B229" s="31">
        <v>5.0298999999999996</v>
      </c>
      <c r="C229" s="32" t="s">
        <v>10189</v>
      </c>
      <c r="D229" s="31" t="s">
        <v>10090</v>
      </c>
      <c r="E229" s="40" t="s">
        <v>10190</v>
      </c>
      <c r="F229" s="38" t="s">
        <v>8883</v>
      </c>
      <c r="G229" s="38" t="s">
        <v>9279</v>
      </c>
      <c r="H229" s="38"/>
      <c r="I229" s="35" t="s">
        <v>10168</v>
      </c>
      <c r="J229" s="36" t="s">
        <v>229</v>
      </c>
    </row>
    <row r="230" spans="1:10" x14ac:dyDescent="0.25">
      <c r="A230" s="31" t="s">
        <v>1837</v>
      </c>
      <c r="B230" s="31">
        <v>5.99</v>
      </c>
      <c r="C230" s="32" t="s">
        <v>10191</v>
      </c>
      <c r="D230" s="31" t="s">
        <v>10090</v>
      </c>
      <c r="E230" s="40" t="s">
        <v>9280</v>
      </c>
      <c r="F230" s="38" t="s">
        <v>8883</v>
      </c>
      <c r="G230" s="38" t="s">
        <v>9280</v>
      </c>
      <c r="H230" s="38" t="s">
        <v>9280</v>
      </c>
      <c r="I230" s="35" t="s">
        <v>10191</v>
      </c>
      <c r="J230" s="36" t="s">
        <v>1837</v>
      </c>
    </row>
    <row r="231" spans="1:10" x14ac:dyDescent="0.25">
      <c r="A231" s="31" t="s">
        <v>1837</v>
      </c>
      <c r="B231" s="31">
        <v>5.9999000000000002</v>
      </c>
      <c r="C231" s="32" t="s">
        <v>10192</v>
      </c>
      <c r="D231" s="31" t="s">
        <v>10090</v>
      </c>
      <c r="E231" s="40" t="s">
        <v>10193</v>
      </c>
      <c r="F231" s="38" t="s">
        <v>8883</v>
      </c>
      <c r="G231" s="38" t="s">
        <v>9280</v>
      </c>
      <c r="H231" s="38"/>
      <c r="I231" s="35" t="s">
        <v>10191</v>
      </c>
      <c r="J231" s="36" t="s">
        <v>1837</v>
      </c>
    </row>
    <row r="232" spans="1:10" x14ac:dyDescent="0.25">
      <c r="A232" s="31" t="s">
        <v>230</v>
      </c>
      <c r="B232" s="31">
        <v>9</v>
      </c>
      <c r="C232" s="32" t="s">
        <v>10194</v>
      </c>
      <c r="D232" s="31" t="s">
        <v>10194</v>
      </c>
      <c r="E232" s="40" t="s">
        <v>9281</v>
      </c>
      <c r="F232" s="38" t="s">
        <v>8888</v>
      </c>
      <c r="G232" s="38" t="s">
        <v>9281</v>
      </c>
      <c r="H232" s="38" t="s">
        <v>9281</v>
      </c>
      <c r="I232" s="35" t="s">
        <v>10194</v>
      </c>
      <c r="J232" s="36" t="s">
        <v>230</v>
      </c>
    </row>
    <row r="233" spans="1:10" x14ac:dyDescent="0.25">
      <c r="A233" s="31" t="s">
        <v>231</v>
      </c>
      <c r="B233" s="31">
        <v>9.01</v>
      </c>
      <c r="C233" s="32" t="s">
        <v>10195</v>
      </c>
      <c r="D233" s="31" t="s">
        <v>10194</v>
      </c>
      <c r="E233" s="40" t="s">
        <v>9282</v>
      </c>
      <c r="F233" s="38" t="s">
        <v>8888</v>
      </c>
      <c r="G233" s="38" t="s">
        <v>9282</v>
      </c>
      <c r="H233" s="38" t="s">
        <v>9282</v>
      </c>
      <c r="I233" s="35" t="s">
        <v>10195</v>
      </c>
      <c r="J233" s="36" t="s">
        <v>231</v>
      </c>
    </row>
    <row r="234" spans="1:10" x14ac:dyDescent="0.25">
      <c r="A234" s="31" t="s">
        <v>232</v>
      </c>
      <c r="B234" s="31">
        <v>9.01</v>
      </c>
      <c r="C234" s="32" t="s">
        <v>10196</v>
      </c>
      <c r="D234" s="31" t="s">
        <v>10194</v>
      </c>
      <c r="E234" s="40" t="s">
        <v>10197</v>
      </c>
      <c r="F234" s="38" t="s">
        <v>8888</v>
      </c>
      <c r="G234" s="38" t="s">
        <v>9282</v>
      </c>
      <c r="H234" s="38"/>
      <c r="I234" s="35" t="s">
        <v>10195</v>
      </c>
      <c r="J234" s="36" t="s">
        <v>232</v>
      </c>
    </row>
    <row r="235" spans="1:10" x14ac:dyDescent="0.25">
      <c r="A235" s="31" t="s">
        <v>233</v>
      </c>
      <c r="B235" s="31">
        <v>9.0100999999999996</v>
      </c>
      <c r="C235" s="32" t="s">
        <v>10198</v>
      </c>
      <c r="D235" s="31" t="s">
        <v>10194</v>
      </c>
      <c r="E235" s="40" t="s">
        <v>10199</v>
      </c>
      <c r="F235" s="38" t="s">
        <v>8888</v>
      </c>
      <c r="G235" s="38" t="s">
        <v>9282</v>
      </c>
      <c r="H235" s="38"/>
      <c r="I235" s="35" t="s">
        <v>10195</v>
      </c>
      <c r="J235" s="36" t="s">
        <v>233</v>
      </c>
    </row>
    <row r="236" spans="1:10" x14ac:dyDescent="0.25">
      <c r="A236" s="31" t="s">
        <v>234</v>
      </c>
      <c r="B236" s="31">
        <v>9.0101999999999993</v>
      </c>
      <c r="C236" s="32" t="s">
        <v>10200</v>
      </c>
      <c r="D236" s="31" t="s">
        <v>10194</v>
      </c>
      <c r="E236" s="40" t="s">
        <v>10201</v>
      </c>
      <c r="F236" s="38" t="s">
        <v>8888</v>
      </c>
      <c r="G236" s="38" t="s">
        <v>9282</v>
      </c>
      <c r="H236" s="38"/>
      <c r="I236" s="35" t="s">
        <v>10195</v>
      </c>
      <c r="J236" s="36" t="s">
        <v>234</v>
      </c>
    </row>
    <row r="237" spans="1:10" x14ac:dyDescent="0.25">
      <c r="A237" s="31" t="s">
        <v>235</v>
      </c>
      <c r="B237" s="31">
        <v>9.0198999999999998</v>
      </c>
      <c r="C237" s="32" t="s">
        <v>10202</v>
      </c>
      <c r="D237" s="31" t="s">
        <v>10194</v>
      </c>
      <c r="E237" s="40" t="s">
        <v>10203</v>
      </c>
      <c r="F237" s="38" t="s">
        <v>8888</v>
      </c>
      <c r="G237" s="38" t="s">
        <v>9282</v>
      </c>
      <c r="H237" s="38"/>
      <c r="I237" s="35" t="s">
        <v>10195</v>
      </c>
      <c r="J237" s="36" t="s">
        <v>235</v>
      </c>
    </row>
    <row r="238" spans="1:10" x14ac:dyDescent="0.25">
      <c r="A238" s="31" t="s">
        <v>236</v>
      </c>
      <c r="B238" s="31">
        <v>9.0399999999999991</v>
      </c>
      <c r="C238" s="32" t="s">
        <v>10204</v>
      </c>
      <c r="D238" s="31" t="s">
        <v>10194</v>
      </c>
      <c r="E238" s="40" t="s">
        <v>9283</v>
      </c>
      <c r="F238" s="38" t="s">
        <v>8888</v>
      </c>
      <c r="G238" s="38" t="s">
        <v>9283</v>
      </c>
      <c r="H238" s="38" t="s">
        <v>9283</v>
      </c>
      <c r="I238" s="35" t="s">
        <v>10204</v>
      </c>
      <c r="J238" s="36" t="s">
        <v>236</v>
      </c>
    </row>
    <row r="239" spans="1:10" x14ac:dyDescent="0.25">
      <c r="A239" s="31" t="s">
        <v>236</v>
      </c>
      <c r="B239" s="31">
        <v>9.0401000000000007</v>
      </c>
      <c r="C239" s="32" t="s">
        <v>10205</v>
      </c>
      <c r="D239" s="31" t="s">
        <v>10194</v>
      </c>
      <c r="E239" s="40" t="s">
        <v>10206</v>
      </c>
      <c r="F239" s="38" t="s">
        <v>8888</v>
      </c>
      <c r="G239" s="38" t="s">
        <v>9283</v>
      </c>
      <c r="H239" s="38"/>
      <c r="I239" s="35" t="s">
        <v>10204</v>
      </c>
      <c r="J239" s="36" t="s">
        <v>236</v>
      </c>
    </row>
    <row r="240" spans="1:10" x14ac:dyDescent="0.25">
      <c r="A240" s="31" t="s">
        <v>237</v>
      </c>
      <c r="B240" s="31">
        <v>9.0402000000000005</v>
      </c>
      <c r="C240" s="32" t="s">
        <v>10207</v>
      </c>
      <c r="D240" s="31" t="s">
        <v>10194</v>
      </c>
      <c r="E240" s="40" t="s">
        <v>10208</v>
      </c>
      <c r="F240" s="38" t="s">
        <v>8888</v>
      </c>
      <c r="G240" s="38" t="s">
        <v>9283</v>
      </c>
      <c r="H240" s="38"/>
      <c r="I240" s="35" t="s">
        <v>10204</v>
      </c>
      <c r="J240" s="36" t="s">
        <v>237</v>
      </c>
    </row>
    <row r="241" spans="1:10" x14ac:dyDescent="0.25">
      <c r="A241" s="31" t="s">
        <v>238</v>
      </c>
      <c r="B241" s="31">
        <v>9.0404</v>
      </c>
      <c r="C241" s="32" t="s">
        <v>10209</v>
      </c>
      <c r="D241" s="31" t="s">
        <v>10194</v>
      </c>
      <c r="E241" s="40" t="s">
        <v>10210</v>
      </c>
      <c r="F241" s="38" t="s">
        <v>8888</v>
      </c>
      <c r="G241" s="38" t="s">
        <v>9283</v>
      </c>
      <c r="H241" s="38"/>
      <c r="I241" s="35" t="s">
        <v>10204</v>
      </c>
      <c r="J241" s="36" t="s">
        <v>238</v>
      </c>
    </row>
    <row r="242" spans="1:10" x14ac:dyDescent="0.25">
      <c r="A242" s="31" t="s">
        <v>1838</v>
      </c>
      <c r="B242" s="31">
        <v>9.0404999999999998</v>
      </c>
      <c r="C242" s="32" t="s">
        <v>10211</v>
      </c>
      <c r="D242" s="31" t="s">
        <v>10194</v>
      </c>
      <c r="E242" s="40" t="s">
        <v>10212</v>
      </c>
      <c r="F242" s="38" t="s">
        <v>8888</v>
      </c>
      <c r="G242" s="38" t="s">
        <v>9283</v>
      </c>
      <c r="H242" s="38"/>
      <c r="I242" s="35" t="s">
        <v>10204</v>
      </c>
      <c r="J242" s="36" t="s">
        <v>1838</v>
      </c>
    </row>
    <row r="243" spans="1:10" x14ac:dyDescent="0.25">
      <c r="A243" s="31" t="s">
        <v>1839</v>
      </c>
      <c r="B243" s="31">
        <v>9.0405999999999995</v>
      </c>
      <c r="C243" s="32" t="s">
        <v>10213</v>
      </c>
      <c r="D243" s="31" t="s">
        <v>10194</v>
      </c>
      <c r="E243" s="40" t="s">
        <v>10214</v>
      </c>
      <c r="F243" s="38" t="s">
        <v>8888</v>
      </c>
      <c r="G243" s="38" t="s">
        <v>9283</v>
      </c>
      <c r="H243" s="38"/>
      <c r="I243" s="35" t="s">
        <v>10204</v>
      </c>
      <c r="J243" s="36" t="s">
        <v>1839</v>
      </c>
    </row>
    <row r="244" spans="1:10" x14ac:dyDescent="0.25">
      <c r="A244" s="31" t="s">
        <v>1840</v>
      </c>
      <c r="B244" s="31">
        <v>9.0406999999999993</v>
      </c>
      <c r="C244" s="32" t="s">
        <v>10215</v>
      </c>
      <c r="D244" s="31" t="s">
        <v>10194</v>
      </c>
      <c r="E244" s="40" t="s">
        <v>10216</v>
      </c>
      <c r="F244" s="38" t="s">
        <v>8888</v>
      </c>
      <c r="G244" s="38" t="s">
        <v>9283</v>
      </c>
      <c r="H244" s="38"/>
      <c r="I244" s="35" t="s">
        <v>10204</v>
      </c>
      <c r="J244" s="36" t="s">
        <v>1840</v>
      </c>
    </row>
    <row r="245" spans="1:10" x14ac:dyDescent="0.25">
      <c r="A245" s="31" t="s">
        <v>239</v>
      </c>
      <c r="B245" s="31">
        <v>9.0498999999999992</v>
      </c>
      <c r="C245" s="32" t="s">
        <v>10217</v>
      </c>
      <c r="D245" s="31" t="s">
        <v>10194</v>
      </c>
      <c r="E245" s="40" t="s">
        <v>10218</v>
      </c>
      <c r="F245" s="38" t="s">
        <v>8888</v>
      </c>
      <c r="G245" s="38" t="s">
        <v>9283</v>
      </c>
      <c r="H245" s="38"/>
      <c r="I245" s="35" t="s">
        <v>10204</v>
      </c>
      <c r="J245" s="36" t="s">
        <v>239</v>
      </c>
    </row>
    <row r="246" spans="1:10" x14ac:dyDescent="0.25">
      <c r="A246" s="31" t="s">
        <v>240</v>
      </c>
      <c r="B246" s="31">
        <v>9.07</v>
      </c>
      <c r="C246" s="32" t="s">
        <v>10219</v>
      </c>
      <c r="D246" s="31" t="s">
        <v>10194</v>
      </c>
      <c r="E246" s="40" t="s">
        <v>9284</v>
      </c>
      <c r="F246" s="38" t="s">
        <v>8888</v>
      </c>
      <c r="G246" s="38" t="s">
        <v>9284</v>
      </c>
      <c r="H246" s="38" t="s">
        <v>9284</v>
      </c>
      <c r="I246" s="35" t="s">
        <v>10219</v>
      </c>
      <c r="J246" s="36" t="s">
        <v>240</v>
      </c>
    </row>
    <row r="247" spans="1:10" x14ac:dyDescent="0.25">
      <c r="A247" s="31" t="s">
        <v>241</v>
      </c>
      <c r="B247" s="31">
        <v>9.0701000000000001</v>
      </c>
      <c r="C247" s="32" t="s">
        <v>10220</v>
      </c>
      <c r="D247" s="31" t="s">
        <v>10194</v>
      </c>
      <c r="E247" s="40" t="s">
        <v>10221</v>
      </c>
      <c r="F247" s="38" t="s">
        <v>8888</v>
      </c>
      <c r="G247" s="38" t="s">
        <v>9284</v>
      </c>
      <c r="H247" s="38"/>
      <c r="I247" s="35" t="s">
        <v>10219</v>
      </c>
      <c r="J247" s="36" t="s">
        <v>241</v>
      </c>
    </row>
    <row r="248" spans="1:10" x14ac:dyDescent="0.25">
      <c r="A248" s="31" t="s">
        <v>242</v>
      </c>
      <c r="B248" s="31">
        <v>9.0701999999999998</v>
      </c>
      <c r="C248" s="32" t="s">
        <v>10222</v>
      </c>
      <c r="D248" s="31" t="s">
        <v>10194</v>
      </c>
      <c r="E248" s="40" t="s">
        <v>10223</v>
      </c>
      <c r="F248" s="38" t="s">
        <v>8888</v>
      </c>
      <c r="G248" s="38" t="s">
        <v>9284</v>
      </c>
      <c r="H248" s="38"/>
      <c r="I248" s="35" t="s">
        <v>10219</v>
      </c>
      <c r="J248" s="36" t="s">
        <v>242</v>
      </c>
    </row>
    <row r="249" spans="1:10" x14ac:dyDescent="0.25">
      <c r="A249" s="31" t="s">
        <v>243</v>
      </c>
      <c r="B249" s="31">
        <v>9.0799000000000003</v>
      </c>
      <c r="C249" s="32" t="s">
        <v>10224</v>
      </c>
      <c r="D249" s="31" t="s">
        <v>10194</v>
      </c>
      <c r="E249" s="40" t="s">
        <v>10225</v>
      </c>
      <c r="F249" s="38" t="s">
        <v>8888</v>
      </c>
      <c r="G249" s="38" t="s">
        <v>9284</v>
      </c>
      <c r="H249" s="38"/>
      <c r="I249" s="35" t="s">
        <v>10219</v>
      </c>
      <c r="J249" s="36" t="s">
        <v>243</v>
      </c>
    </row>
    <row r="250" spans="1:10" x14ac:dyDescent="0.25">
      <c r="A250" s="31" t="s">
        <v>244</v>
      </c>
      <c r="B250" s="31">
        <v>9.09</v>
      </c>
      <c r="C250" s="32" t="s">
        <v>10226</v>
      </c>
      <c r="D250" s="31" t="s">
        <v>10194</v>
      </c>
      <c r="E250" s="40" t="s">
        <v>9285</v>
      </c>
      <c r="F250" s="38" t="s">
        <v>8888</v>
      </c>
      <c r="G250" s="38" t="s">
        <v>9285</v>
      </c>
      <c r="H250" s="38" t="s">
        <v>9285</v>
      </c>
      <c r="I250" s="35" t="s">
        <v>10226</v>
      </c>
      <c r="J250" s="36" t="s">
        <v>244</v>
      </c>
    </row>
    <row r="251" spans="1:10" x14ac:dyDescent="0.25">
      <c r="A251" s="31" t="s">
        <v>244</v>
      </c>
      <c r="B251" s="31">
        <v>9.09</v>
      </c>
      <c r="C251" s="32" t="s">
        <v>10227</v>
      </c>
      <c r="D251" s="31" t="s">
        <v>10194</v>
      </c>
      <c r="E251" s="40" t="s">
        <v>10228</v>
      </c>
      <c r="F251" s="38" t="s">
        <v>8888</v>
      </c>
      <c r="G251" s="38" t="s">
        <v>9285</v>
      </c>
      <c r="H251" s="38"/>
      <c r="I251" s="35" t="s">
        <v>10226</v>
      </c>
      <c r="J251" s="36" t="s">
        <v>244</v>
      </c>
    </row>
    <row r="252" spans="1:10" x14ac:dyDescent="0.25">
      <c r="A252" s="31" t="s">
        <v>245</v>
      </c>
      <c r="B252" s="31">
        <v>9.0900999999999996</v>
      </c>
      <c r="C252" s="32" t="s">
        <v>10229</v>
      </c>
      <c r="D252" s="31" t="s">
        <v>10194</v>
      </c>
      <c r="E252" s="40" t="s">
        <v>10230</v>
      </c>
      <c r="F252" s="38" t="s">
        <v>8888</v>
      </c>
      <c r="G252" s="38" t="s">
        <v>9285</v>
      </c>
      <c r="H252" s="38"/>
      <c r="I252" s="35" t="s">
        <v>10226</v>
      </c>
      <c r="J252" s="36" t="s">
        <v>245</v>
      </c>
    </row>
    <row r="253" spans="1:10" x14ac:dyDescent="0.25">
      <c r="A253" s="31" t="s">
        <v>246</v>
      </c>
      <c r="B253" s="31">
        <v>9.0901999999999994</v>
      </c>
      <c r="C253" s="32" t="s">
        <v>10231</v>
      </c>
      <c r="D253" s="31" t="s">
        <v>10194</v>
      </c>
      <c r="E253" s="40" t="s">
        <v>10232</v>
      </c>
      <c r="F253" s="38" t="s">
        <v>8888</v>
      </c>
      <c r="G253" s="38" t="s">
        <v>9285</v>
      </c>
      <c r="H253" s="38"/>
      <c r="I253" s="35" t="s">
        <v>10226</v>
      </c>
      <c r="J253" s="36" t="s">
        <v>246</v>
      </c>
    </row>
    <row r="254" spans="1:10" x14ac:dyDescent="0.25">
      <c r="A254" s="31" t="s">
        <v>247</v>
      </c>
      <c r="B254" s="31">
        <v>9.0902999999999992</v>
      </c>
      <c r="C254" s="32" t="s">
        <v>10233</v>
      </c>
      <c r="D254" s="31" t="s">
        <v>10194</v>
      </c>
      <c r="E254" s="40" t="s">
        <v>10234</v>
      </c>
      <c r="F254" s="38" t="s">
        <v>8888</v>
      </c>
      <c r="G254" s="38" t="s">
        <v>9285</v>
      </c>
      <c r="H254" s="38"/>
      <c r="I254" s="35" t="s">
        <v>10226</v>
      </c>
      <c r="J254" s="36" t="s">
        <v>247</v>
      </c>
    </row>
    <row r="255" spans="1:10" x14ac:dyDescent="0.25">
      <c r="A255" s="31" t="s">
        <v>248</v>
      </c>
      <c r="B255" s="31">
        <v>9.0904000000000007</v>
      </c>
      <c r="C255" s="32" t="s">
        <v>10235</v>
      </c>
      <c r="D255" s="31" t="s">
        <v>10194</v>
      </c>
      <c r="E255" s="40" t="s">
        <v>10236</v>
      </c>
      <c r="F255" s="38" t="s">
        <v>8888</v>
      </c>
      <c r="G255" s="38" t="s">
        <v>9285</v>
      </c>
      <c r="H255" s="38"/>
      <c r="I255" s="35" t="s">
        <v>10226</v>
      </c>
      <c r="J255" s="36" t="s">
        <v>248</v>
      </c>
    </row>
    <row r="256" spans="1:10" x14ac:dyDescent="0.25">
      <c r="A256" s="31" t="s">
        <v>249</v>
      </c>
      <c r="B256" s="31">
        <v>9.0905000000000005</v>
      </c>
      <c r="C256" s="32" t="s">
        <v>10237</v>
      </c>
      <c r="D256" s="31" t="s">
        <v>10194</v>
      </c>
      <c r="E256" s="40" t="s">
        <v>10238</v>
      </c>
      <c r="F256" s="38" t="s">
        <v>8888</v>
      </c>
      <c r="G256" s="38" t="s">
        <v>9285</v>
      </c>
      <c r="H256" s="38"/>
      <c r="I256" s="35" t="s">
        <v>10226</v>
      </c>
      <c r="J256" s="36" t="s">
        <v>249</v>
      </c>
    </row>
    <row r="257" spans="1:10" x14ac:dyDescent="0.25">
      <c r="A257" s="31" t="s">
        <v>250</v>
      </c>
      <c r="B257" s="31">
        <v>9.0906000000000002</v>
      </c>
      <c r="C257" s="32" t="s">
        <v>10239</v>
      </c>
      <c r="D257" s="31" t="s">
        <v>10194</v>
      </c>
      <c r="E257" s="40" t="s">
        <v>10240</v>
      </c>
      <c r="F257" s="38" t="s">
        <v>8888</v>
      </c>
      <c r="G257" s="38" t="s">
        <v>9285</v>
      </c>
      <c r="H257" s="38"/>
      <c r="I257" s="35" t="s">
        <v>10226</v>
      </c>
      <c r="J257" s="36" t="s">
        <v>250</v>
      </c>
    </row>
    <row r="258" spans="1:10" x14ac:dyDescent="0.25">
      <c r="A258" s="31" t="s">
        <v>251</v>
      </c>
      <c r="B258" s="31">
        <v>9.0907</v>
      </c>
      <c r="C258" s="32" t="s">
        <v>10241</v>
      </c>
      <c r="D258" s="31" t="s">
        <v>10194</v>
      </c>
      <c r="E258" s="40" t="s">
        <v>10242</v>
      </c>
      <c r="F258" s="38" t="s">
        <v>8888</v>
      </c>
      <c r="G258" s="38" t="s">
        <v>9285</v>
      </c>
      <c r="H258" s="38"/>
      <c r="I258" s="35" t="s">
        <v>10226</v>
      </c>
      <c r="J258" s="36" t="s">
        <v>251</v>
      </c>
    </row>
    <row r="259" spans="1:10" x14ac:dyDescent="0.25">
      <c r="A259" s="31" t="s">
        <v>252</v>
      </c>
      <c r="B259" s="31">
        <v>9.0907999999999998</v>
      </c>
      <c r="C259" s="32" t="s">
        <v>10243</v>
      </c>
      <c r="D259" s="31" t="s">
        <v>10194</v>
      </c>
      <c r="E259" s="40" t="s">
        <v>10244</v>
      </c>
      <c r="F259" s="38" t="s">
        <v>8888</v>
      </c>
      <c r="G259" s="38" t="s">
        <v>9285</v>
      </c>
      <c r="H259" s="38"/>
      <c r="I259" s="35" t="s">
        <v>10226</v>
      </c>
      <c r="J259" s="36" t="s">
        <v>252</v>
      </c>
    </row>
    <row r="260" spans="1:10" x14ac:dyDescent="0.25">
      <c r="A260" s="31" t="s">
        <v>1841</v>
      </c>
      <c r="B260" s="31">
        <v>9.0908999999999995</v>
      </c>
      <c r="C260" s="32" t="s">
        <v>10245</v>
      </c>
      <c r="D260" s="31" t="s">
        <v>10194</v>
      </c>
      <c r="E260" s="40" t="s">
        <v>10246</v>
      </c>
      <c r="F260" s="38" t="s">
        <v>8888</v>
      </c>
      <c r="G260" s="38" t="s">
        <v>9285</v>
      </c>
      <c r="H260" s="38"/>
      <c r="I260" s="35" t="s">
        <v>10226</v>
      </c>
      <c r="J260" s="36" t="s">
        <v>1841</v>
      </c>
    </row>
    <row r="261" spans="1:10" x14ac:dyDescent="0.25">
      <c r="A261" s="31" t="s">
        <v>1842</v>
      </c>
      <c r="B261" s="31">
        <v>9.0998999999999999</v>
      </c>
      <c r="C261" s="32" t="s">
        <v>10247</v>
      </c>
      <c r="D261" s="31" t="s">
        <v>10194</v>
      </c>
      <c r="E261" s="40" t="s">
        <v>10248</v>
      </c>
      <c r="F261" s="38" t="s">
        <v>8888</v>
      </c>
      <c r="G261" s="38" t="s">
        <v>9285</v>
      </c>
      <c r="H261" s="38"/>
      <c r="I261" s="35" t="s">
        <v>10226</v>
      </c>
      <c r="J261" s="36" t="s">
        <v>1842</v>
      </c>
    </row>
    <row r="262" spans="1:10" x14ac:dyDescent="0.25">
      <c r="A262" s="31" t="s">
        <v>253</v>
      </c>
      <c r="B262" s="31">
        <v>9.1</v>
      </c>
      <c r="C262" s="32" t="s">
        <v>10249</v>
      </c>
      <c r="D262" s="31" t="s">
        <v>10194</v>
      </c>
      <c r="E262" s="40" t="s">
        <v>9286</v>
      </c>
      <c r="F262" s="38" t="s">
        <v>8888</v>
      </c>
      <c r="G262" s="38" t="s">
        <v>9286</v>
      </c>
      <c r="H262" s="38" t="s">
        <v>9286</v>
      </c>
      <c r="I262" s="35" t="s">
        <v>10249</v>
      </c>
      <c r="J262" s="36" t="s">
        <v>253</v>
      </c>
    </row>
    <row r="263" spans="1:10" x14ac:dyDescent="0.25">
      <c r="A263" s="31" t="s">
        <v>253</v>
      </c>
      <c r="B263" s="31">
        <v>9.1000999999999994</v>
      </c>
      <c r="C263" s="32" t="s">
        <v>10250</v>
      </c>
      <c r="D263" s="31" t="s">
        <v>10194</v>
      </c>
      <c r="E263" s="40" t="s">
        <v>10251</v>
      </c>
      <c r="F263" s="38" t="s">
        <v>8888</v>
      </c>
      <c r="G263" s="38" t="s">
        <v>9286</v>
      </c>
      <c r="H263" s="38"/>
      <c r="I263" s="35" t="s">
        <v>10249</v>
      </c>
      <c r="J263" s="36" t="s">
        <v>253</v>
      </c>
    </row>
    <row r="264" spans="1:10" x14ac:dyDescent="0.25">
      <c r="A264" s="31" t="s">
        <v>254</v>
      </c>
      <c r="B264" s="31">
        <v>9.99</v>
      </c>
      <c r="C264" s="32" t="s">
        <v>10252</v>
      </c>
      <c r="D264" s="31" t="s">
        <v>10194</v>
      </c>
      <c r="E264" s="40" t="s">
        <v>9287</v>
      </c>
      <c r="F264" s="38" t="s">
        <v>8888</v>
      </c>
      <c r="G264" s="38" t="s">
        <v>9287</v>
      </c>
      <c r="H264" s="38" t="s">
        <v>9287</v>
      </c>
      <c r="I264" s="35" t="s">
        <v>10252</v>
      </c>
      <c r="J264" s="36" t="s">
        <v>254</v>
      </c>
    </row>
    <row r="265" spans="1:10" x14ac:dyDescent="0.25">
      <c r="A265" s="31" t="s">
        <v>254</v>
      </c>
      <c r="B265" s="31">
        <v>9.9999000000000002</v>
      </c>
      <c r="C265" s="32" t="s">
        <v>10253</v>
      </c>
      <c r="D265" s="31" t="s">
        <v>10194</v>
      </c>
      <c r="E265" s="40" t="s">
        <v>10254</v>
      </c>
      <c r="F265" s="38" t="s">
        <v>8888</v>
      </c>
      <c r="G265" s="38" t="s">
        <v>9287</v>
      </c>
      <c r="H265" s="38"/>
      <c r="I265" s="35" t="s">
        <v>10252</v>
      </c>
      <c r="J265" s="36" t="s">
        <v>254</v>
      </c>
    </row>
    <row r="266" spans="1:10" x14ac:dyDescent="0.25">
      <c r="A266" s="31" t="s">
        <v>255</v>
      </c>
      <c r="B266" s="31">
        <v>10</v>
      </c>
      <c r="C266" s="32" t="s">
        <v>10255</v>
      </c>
      <c r="D266" s="31" t="s">
        <v>10255</v>
      </c>
      <c r="E266" s="40" t="s">
        <v>9288</v>
      </c>
      <c r="F266" s="38" t="s">
        <v>8895</v>
      </c>
      <c r="G266" s="38" t="s">
        <v>9288</v>
      </c>
      <c r="H266" s="38" t="s">
        <v>9288</v>
      </c>
      <c r="I266" s="35" t="s">
        <v>10255</v>
      </c>
      <c r="J266" s="36" t="s">
        <v>255</v>
      </c>
    </row>
    <row r="267" spans="1:10" x14ac:dyDescent="0.25">
      <c r="A267" s="31" t="s">
        <v>1843</v>
      </c>
      <c r="B267" s="31">
        <v>10.01</v>
      </c>
      <c r="C267" s="32" t="s">
        <v>10256</v>
      </c>
      <c r="D267" s="31" t="s">
        <v>10255</v>
      </c>
      <c r="E267" s="40" t="s">
        <v>9289</v>
      </c>
      <c r="F267" s="38" t="s">
        <v>8895</v>
      </c>
      <c r="G267" s="38" t="s">
        <v>9289</v>
      </c>
      <c r="H267" s="38" t="s">
        <v>9289</v>
      </c>
      <c r="I267" s="35" t="s">
        <v>10256</v>
      </c>
      <c r="J267" s="36" t="s">
        <v>1843</v>
      </c>
    </row>
    <row r="268" spans="1:10" x14ac:dyDescent="0.25">
      <c r="A268" s="31" t="s">
        <v>256</v>
      </c>
      <c r="B268" s="31">
        <v>10.0105</v>
      </c>
      <c r="C268" s="32" t="s">
        <v>10257</v>
      </c>
      <c r="D268" s="31" t="s">
        <v>10255</v>
      </c>
      <c r="E268" s="40" t="s">
        <v>10258</v>
      </c>
      <c r="F268" s="38" t="s">
        <v>8895</v>
      </c>
      <c r="G268" s="38" t="s">
        <v>9289</v>
      </c>
      <c r="H268" s="38"/>
      <c r="I268" s="35" t="s">
        <v>10256</v>
      </c>
      <c r="J268" s="36" t="s">
        <v>256</v>
      </c>
    </row>
    <row r="269" spans="1:10" x14ac:dyDescent="0.25">
      <c r="A269" s="31" t="s">
        <v>257</v>
      </c>
      <c r="B269" s="31">
        <v>10.02</v>
      </c>
      <c r="C269" s="32" t="s">
        <v>10259</v>
      </c>
      <c r="D269" s="31" t="s">
        <v>10255</v>
      </c>
      <c r="E269" s="40" t="s">
        <v>9290</v>
      </c>
      <c r="F269" s="38" t="s">
        <v>8895</v>
      </c>
      <c r="G269" s="38" t="s">
        <v>9290</v>
      </c>
      <c r="H269" s="38" t="s">
        <v>9290</v>
      </c>
      <c r="I269" s="35" t="s">
        <v>10259</v>
      </c>
      <c r="J269" s="36" t="s">
        <v>257</v>
      </c>
    </row>
    <row r="270" spans="1:10" x14ac:dyDescent="0.25">
      <c r="A270" s="31" t="s">
        <v>1844</v>
      </c>
      <c r="B270" s="31">
        <v>10.020099999999999</v>
      </c>
      <c r="C270" s="32" t="s">
        <v>10260</v>
      </c>
      <c r="D270" s="31" t="s">
        <v>10255</v>
      </c>
      <c r="E270" s="40" t="s">
        <v>10261</v>
      </c>
      <c r="F270" s="38" t="s">
        <v>8895</v>
      </c>
      <c r="G270" s="38" t="s">
        <v>9290</v>
      </c>
      <c r="H270" s="38"/>
      <c r="I270" s="35" t="s">
        <v>10259</v>
      </c>
      <c r="J270" s="36" t="s">
        <v>1844</v>
      </c>
    </row>
    <row r="271" spans="1:10" x14ac:dyDescent="0.25">
      <c r="A271" s="31" t="s">
        <v>258</v>
      </c>
      <c r="B271" s="31">
        <v>10.020200000000001</v>
      </c>
      <c r="C271" s="32" t="s">
        <v>10262</v>
      </c>
      <c r="D271" s="31" t="s">
        <v>10255</v>
      </c>
      <c r="E271" s="40" t="s">
        <v>10263</v>
      </c>
      <c r="F271" s="38" t="s">
        <v>8895</v>
      </c>
      <c r="G271" s="38" t="s">
        <v>9290</v>
      </c>
      <c r="H271" s="38"/>
      <c r="I271" s="35" t="s">
        <v>10259</v>
      </c>
      <c r="J271" s="36" t="s">
        <v>258</v>
      </c>
    </row>
    <row r="272" spans="1:10" x14ac:dyDescent="0.25">
      <c r="A272" s="31" t="s">
        <v>259</v>
      </c>
      <c r="B272" s="31">
        <v>10.020300000000001</v>
      </c>
      <c r="C272" s="32" t="s">
        <v>10264</v>
      </c>
      <c r="D272" s="31" t="s">
        <v>10255</v>
      </c>
      <c r="E272" s="40" t="s">
        <v>10265</v>
      </c>
      <c r="F272" s="38" t="s">
        <v>8895</v>
      </c>
      <c r="G272" s="38" t="s">
        <v>9290</v>
      </c>
      <c r="H272" s="38"/>
      <c r="I272" s="35" t="s">
        <v>10259</v>
      </c>
      <c r="J272" s="36" t="s">
        <v>259</v>
      </c>
    </row>
    <row r="273" spans="1:10" x14ac:dyDescent="0.25">
      <c r="A273" s="31" t="s">
        <v>1845</v>
      </c>
      <c r="B273" s="31">
        <v>10.0204</v>
      </c>
      <c r="C273" s="32" t="s">
        <v>10266</v>
      </c>
      <c r="D273" s="31" t="s">
        <v>10255</v>
      </c>
      <c r="E273" s="40" t="s">
        <v>10267</v>
      </c>
      <c r="F273" s="38" t="s">
        <v>8895</v>
      </c>
      <c r="G273" s="38" t="s">
        <v>9290</v>
      </c>
      <c r="H273" s="38"/>
      <c r="I273" s="35" t="s">
        <v>10259</v>
      </c>
      <c r="J273" s="36" t="s">
        <v>1845</v>
      </c>
    </row>
    <row r="274" spans="1:10" x14ac:dyDescent="0.25">
      <c r="A274" s="31" t="s">
        <v>260</v>
      </c>
      <c r="B274" s="31">
        <v>10.0299</v>
      </c>
      <c r="C274" s="32" t="s">
        <v>10268</v>
      </c>
      <c r="D274" s="31" t="s">
        <v>10255</v>
      </c>
      <c r="E274" s="40" t="s">
        <v>10269</v>
      </c>
      <c r="F274" s="38" t="s">
        <v>8895</v>
      </c>
      <c r="G274" s="38" t="s">
        <v>9290</v>
      </c>
      <c r="H274" s="38"/>
      <c r="I274" s="35" t="s">
        <v>10259</v>
      </c>
      <c r="J274" s="36" t="s">
        <v>260</v>
      </c>
    </row>
    <row r="275" spans="1:10" x14ac:dyDescent="0.25">
      <c r="A275" s="31" t="s">
        <v>261</v>
      </c>
      <c r="B275" s="31">
        <v>10.029999999999999</v>
      </c>
      <c r="C275" s="32" t="s">
        <v>10270</v>
      </c>
      <c r="D275" s="31" t="s">
        <v>10255</v>
      </c>
      <c r="E275" s="40" t="s">
        <v>9291</v>
      </c>
      <c r="F275" s="38" t="s">
        <v>8895</v>
      </c>
      <c r="G275" s="38" t="s">
        <v>9291</v>
      </c>
      <c r="H275" s="38" t="s">
        <v>9291</v>
      </c>
      <c r="I275" s="35" t="s">
        <v>10270</v>
      </c>
      <c r="J275" s="36" t="s">
        <v>261</v>
      </c>
    </row>
    <row r="276" spans="1:10" x14ac:dyDescent="0.25">
      <c r="A276" s="31" t="s">
        <v>262</v>
      </c>
      <c r="B276" s="31">
        <v>10.030099999999999</v>
      </c>
      <c r="C276" s="32" t="s">
        <v>10271</v>
      </c>
      <c r="D276" s="31" t="s">
        <v>10255</v>
      </c>
      <c r="E276" s="40" t="s">
        <v>10272</v>
      </c>
      <c r="F276" s="38" t="s">
        <v>8895</v>
      </c>
      <c r="G276" s="38" t="s">
        <v>9291</v>
      </c>
      <c r="H276" s="38"/>
      <c r="I276" s="35" t="s">
        <v>10270</v>
      </c>
      <c r="J276" s="36" t="s">
        <v>262</v>
      </c>
    </row>
    <row r="277" spans="1:10" x14ac:dyDescent="0.25">
      <c r="A277" s="31" t="s">
        <v>263</v>
      </c>
      <c r="B277" s="31">
        <v>10.030200000000001</v>
      </c>
      <c r="C277" s="32" t="s">
        <v>10273</v>
      </c>
      <c r="D277" s="31" t="s">
        <v>10255</v>
      </c>
      <c r="E277" s="40" t="s">
        <v>10274</v>
      </c>
      <c r="F277" s="38" t="s">
        <v>8895</v>
      </c>
      <c r="G277" s="38" t="s">
        <v>9291</v>
      </c>
      <c r="H277" s="38"/>
      <c r="I277" s="35" t="s">
        <v>10270</v>
      </c>
      <c r="J277" s="36" t="s">
        <v>263</v>
      </c>
    </row>
    <row r="278" spans="1:10" x14ac:dyDescent="0.25">
      <c r="A278" s="31" t="s">
        <v>264</v>
      </c>
      <c r="B278" s="31">
        <v>10.0303</v>
      </c>
      <c r="C278" s="32" t="s">
        <v>10275</v>
      </c>
      <c r="D278" s="31" t="s">
        <v>10255</v>
      </c>
      <c r="E278" s="40" t="s">
        <v>10276</v>
      </c>
      <c r="F278" s="38" t="s">
        <v>8895</v>
      </c>
      <c r="G278" s="38" t="s">
        <v>9291</v>
      </c>
      <c r="H278" s="38"/>
      <c r="I278" s="35" t="s">
        <v>10270</v>
      </c>
      <c r="J278" s="36" t="s">
        <v>264</v>
      </c>
    </row>
    <row r="279" spans="1:10" x14ac:dyDescent="0.25">
      <c r="A279" s="31" t="s">
        <v>1846</v>
      </c>
      <c r="B279" s="31">
        <v>10.0304</v>
      </c>
      <c r="C279" s="32" t="s">
        <v>10277</v>
      </c>
      <c r="D279" s="31" t="s">
        <v>10255</v>
      </c>
      <c r="E279" s="40" t="s">
        <v>10278</v>
      </c>
      <c r="F279" s="38" t="s">
        <v>8895</v>
      </c>
      <c r="G279" s="38" t="s">
        <v>9291</v>
      </c>
      <c r="H279" s="38"/>
      <c r="I279" s="35" t="s">
        <v>10270</v>
      </c>
      <c r="J279" s="36" t="s">
        <v>1846</v>
      </c>
    </row>
    <row r="280" spans="1:10" x14ac:dyDescent="0.25">
      <c r="A280" s="31" t="s">
        <v>265</v>
      </c>
      <c r="B280" s="31">
        <v>10.0305</v>
      </c>
      <c r="C280" s="32" t="s">
        <v>10279</v>
      </c>
      <c r="D280" s="31" t="s">
        <v>10255</v>
      </c>
      <c r="E280" s="40" t="s">
        <v>10280</v>
      </c>
      <c r="F280" s="38" t="s">
        <v>8895</v>
      </c>
      <c r="G280" s="38" t="s">
        <v>9291</v>
      </c>
      <c r="H280" s="38"/>
      <c r="I280" s="35" t="s">
        <v>10270</v>
      </c>
      <c r="J280" s="36" t="s">
        <v>265</v>
      </c>
    </row>
    <row r="281" spans="1:10" x14ac:dyDescent="0.25">
      <c r="A281" s="31" t="s">
        <v>266</v>
      </c>
      <c r="B281" s="31">
        <v>10.0306</v>
      </c>
      <c r="C281" s="32" t="s">
        <v>10281</v>
      </c>
      <c r="D281" s="31" t="s">
        <v>10255</v>
      </c>
      <c r="E281" s="40" t="s">
        <v>10282</v>
      </c>
      <c r="F281" s="38" t="s">
        <v>8895</v>
      </c>
      <c r="G281" s="38" t="s">
        <v>9291</v>
      </c>
      <c r="H281" s="38"/>
      <c r="I281" s="35" t="s">
        <v>10270</v>
      </c>
      <c r="J281" s="36" t="s">
        <v>266</v>
      </c>
    </row>
    <row r="282" spans="1:10" x14ac:dyDescent="0.25">
      <c r="A282" s="31" t="s">
        <v>267</v>
      </c>
      <c r="B282" s="31">
        <v>10.0307</v>
      </c>
      <c r="C282" s="32" t="s">
        <v>10283</v>
      </c>
      <c r="D282" s="31" t="s">
        <v>10255</v>
      </c>
      <c r="E282" s="40" t="s">
        <v>10284</v>
      </c>
      <c r="F282" s="38" t="s">
        <v>8895</v>
      </c>
      <c r="G282" s="38" t="s">
        <v>9291</v>
      </c>
      <c r="H282" s="38"/>
      <c r="I282" s="35" t="s">
        <v>10270</v>
      </c>
      <c r="J282" s="36" t="s">
        <v>267</v>
      </c>
    </row>
    <row r="283" spans="1:10" x14ac:dyDescent="0.25">
      <c r="A283" s="31" t="s">
        <v>268</v>
      </c>
      <c r="B283" s="31">
        <v>10.030799999999999</v>
      </c>
      <c r="C283" s="32" t="s">
        <v>10285</v>
      </c>
      <c r="D283" s="31" t="s">
        <v>10255</v>
      </c>
      <c r="E283" s="40" t="s">
        <v>10286</v>
      </c>
      <c r="F283" s="38" t="s">
        <v>8895</v>
      </c>
      <c r="G283" s="38" t="s">
        <v>9291</v>
      </c>
      <c r="H283" s="38"/>
      <c r="I283" s="35" t="s">
        <v>10270</v>
      </c>
      <c r="J283" s="36" t="s">
        <v>268</v>
      </c>
    </row>
    <row r="284" spans="1:10" x14ac:dyDescent="0.25">
      <c r="A284" s="31" t="s">
        <v>269</v>
      </c>
      <c r="B284" s="31">
        <v>10.039899999999999</v>
      </c>
      <c r="C284" s="32" t="s">
        <v>10287</v>
      </c>
      <c r="D284" s="31" t="s">
        <v>10255</v>
      </c>
      <c r="E284" s="40" t="s">
        <v>10288</v>
      </c>
      <c r="F284" s="38" t="s">
        <v>8895</v>
      </c>
      <c r="G284" s="38" t="s">
        <v>9291</v>
      </c>
      <c r="H284" s="38"/>
      <c r="I284" s="35" t="s">
        <v>10270</v>
      </c>
      <c r="J284" s="36" t="s">
        <v>269</v>
      </c>
    </row>
    <row r="285" spans="1:10" x14ac:dyDescent="0.25">
      <c r="A285" s="31" t="s">
        <v>270</v>
      </c>
      <c r="B285" s="31">
        <v>10.99</v>
      </c>
      <c r="C285" s="32" t="s">
        <v>10289</v>
      </c>
      <c r="D285" s="31" t="s">
        <v>10255</v>
      </c>
      <c r="E285" s="40" t="s">
        <v>9292</v>
      </c>
      <c r="F285" s="38" t="s">
        <v>8895</v>
      </c>
      <c r="G285" s="38" t="s">
        <v>9292</v>
      </c>
      <c r="H285" s="38" t="s">
        <v>9292</v>
      </c>
      <c r="I285" s="35" t="s">
        <v>10289</v>
      </c>
      <c r="J285" s="36" t="s">
        <v>270</v>
      </c>
    </row>
    <row r="286" spans="1:10" x14ac:dyDescent="0.25">
      <c r="A286" s="31" t="s">
        <v>270</v>
      </c>
      <c r="B286" s="31">
        <v>10.9999</v>
      </c>
      <c r="C286" s="32" t="s">
        <v>10290</v>
      </c>
      <c r="D286" s="31" t="s">
        <v>10255</v>
      </c>
      <c r="E286" s="40" t="s">
        <v>10291</v>
      </c>
      <c r="F286" s="38" t="s">
        <v>8895</v>
      </c>
      <c r="G286" s="38" t="s">
        <v>9292</v>
      </c>
      <c r="H286" s="38"/>
      <c r="I286" s="35" t="s">
        <v>10289</v>
      </c>
      <c r="J286" s="36" t="s">
        <v>270</v>
      </c>
    </row>
    <row r="287" spans="1:10" x14ac:dyDescent="0.25">
      <c r="A287" s="31" t="s">
        <v>271</v>
      </c>
      <c r="B287" s="31">
        <v>11</v>
      </c>
      <c r="C287" s="32" t="s">
        <v>10292</v>
      </c>
      <c r="D287" s="31" t="s">
        <v>10292</v>
      </c>
      <c r="E287" s="40" t="s">
        <v>9293</v>
      </c>
      <c r="F287" s="38" t="s">
        <v>8900</v>
      </c>
      <c r="G287" s="38" t="s">
        <v>9293</v>
      </c>
      <c r="H287" s="38" t="s">
        <v>9293</v>
      </c>
      <c r="I287" s="35" t="s">
        <v>10292</v>
      </c>
      <c r="J287" s="36" t="s">
        <v>271</v>
      </c>
    </row>
    <row r="288" spans="1:10" x14ac:dyDescent="0.25">
      <c r="A288" s="31" t="s">
        <v>272</v>
      </c>
      <c r="B288" s="31">
        <v>11.01</v>
      </c>
      <c r="C288" s="32" t="s">
        <v>10293</v>
      </c>
      <c r="D288" s="31" t="s">
        <v>10292</v>
      </c>
      <c r="E288" s="40" t="s">
        <v>9294</v>
      </c>
      <c r="F288" s="38" t="s">
        <v>8900</v>
      </c>
      <c r="G288" s="38" t="s">
        <v>9294</v>
      </c>
      <c r="H288" s="38" t="s">
        <v>9294</v>
      </c>
      <c r="I288" s="35" t="s">
        <v>10293</v>
      </c>
      <c r="J288" s="36" t="s">
        <v>272</v>
      </c>
    </row>
    <row r="289" spans="1:10" x14ac:dyDescent="0.25">
      <c r="A289" s="31" t="s">
        <v>272</v>
      </c>
      <c r="B289" s="31">
        <v>11.0101</v>
      </c>
      <c r="C289" s="32" t="s">
        <v>10294</v>
      </c>
      <c r="D289" s="31" t="s">
        <v>10292</v>
      </c>
      <c r="E289" s="40" t="s">
        <v>10295</v>
      </c>
      <c r="F289" s="38" t="s">
        <v>8900</v>
      </c>
      <c r="G289" s="38" t="s">
        <v>9294</v>
      </c>
      <c r="H289" s="38"/>
      <c r="I289" s="35" t="s">
        <v>10293</v>
      </c>
      <c r="J289" s="36" t="s">
        <v>272</v>
      </c>
    </row>
    <row r="290" spans="1:10" x14ac:dyDescent="0.25">
      <c r="A290" s="31" t="s">
        <v>273</v>
      </c>
      <c r="B290" s="31">
        <v>11.010199999999999</v>
      </c>
      <c r="C290" s="32" t="s">
        <v>10296</v>
      </c>
      <c r="D290" s="31" t="s">
        <v>10292</v>
      </c>
      <c r="E290" s="40" t="s">
        <v>10297</v>
      </c>
      <c r="F290" s="38" t="s">
        <v>8900</v>
      </c>
      <c r="G290" s="38" t="s">
        <v>9294</v>
      </c>
      <c r="H290" s="38"/>
      <c r="I290" s="35" t="s">
        <v>10293</v>
      </c>
      <c r="J290" s="36" t="s">
        <v>273</v>
      </c>
    </row>
    <row r="291" spans="1:10" x14ac:dyDescent="0.25">
      <c r="A291" s="31" t="s">
        <v>274</v>
      </c>
      <c r="B291" s="31">
        <v>11.010300000000001</v>
      </c>
      <c r="C291" s="32" t="s">
        <v>10298</v>
      </c>
      <c r="D291" s="31" t="s">
        <v>10292</v>
      </c>
      <c r="E291" s="40" t="s">
        <v>10299</v>
      </c>
      <c r="F291" s="38" t="s">
        <v>8900</v>
      </c>
      <c r="G291" s="38" t="s">
        <v>9294</v>
      </c>
      <c r="H291" s="38"/>
      <c r="I291" s="35" t="s">
        <v>10293</v>
      </c>
      <c r="J291" s="36" t="s">
        <v>274</v>
      </c>
    </row>
    <row r="292" spans="1:10" x14ac:dyDescent="0.25">
      <c r="A292" s="31" t="s">
        <v>275</v>
      </c>
      <c r="B292" s="31">
        <v>11.010400000000001</v>
      </c>
      <c r="C292" s="32" t="s">
        <v>10300</v>
      </c>
      <c r="D292" s="31" t="s">
        <v>10292</v>
      </c>
      <c r="E292" s="40" t="s">
        <v>10301</v>
      </c>
      <c r="F292" s="38" t="s">
        <v>8900</v>
      </c>
      <c r="G292" s="38" t="s">
        <v>9294</v>
      </c>
      <c r="H292" s="38"/>
      <c r="I292" s="35" t="s">
        <v>10293</v>
      </c>
      <c r="J292" s="36" t="s">
        <v>275</v>
      </c>
    </row>
    <row r="293" spans="1:10" x14ac:dyDescent="0.25">
      <c r="A293" s="31" t="s">
        <v>1847</v>
      </c>
      <c r="B293" s="31">
        <v>11.0105</v>
      </c>
      <c r="C293" s="32" t="s">
        <v>10302</v>
      </c>
      <c r="D293" s="31" t="s">
        <v>10292</v>
      </c>
      <c r="E293" s="40" t="s">
        <v>10303</v>
      </c>
      <c r="F293" s="38" t="s">
        <v>8900</v>
      </c>
      <c r="G293" s="38" t="s">
        <v>9294</v>
      </c>
      <c r="H293" s="38"/>
      <c r="I293" s="35" t="s">
        <v>10293</v>
      </c>
      <c r="J293" s="36" t="s">
        <v>1847</v>
      </c>
    </row>
    <row r="294" spans="1:10" x14ac:dyDescent="0.25">
      <c r="A294" s="31" t="s">
        <v>276</v>
      </c>
      <c r="B294" s="31">
        <v>11.0199</v>
      </c>
      <c r="C294" s="32" t="s">
        <v>10304</v>
      </c>
      <c r="D294" s="31" t="s">
        <v>10292</v>
      </c>
      <c r="E294" s="40" t="s">
        <v>10305</v>
      </c>
      <c r="F294" s="38" t="s">
        <v>8900</v>
      </c>
      <c r="G294" s="38" t="s">
        <v>9294</v>
      </c>
      <c r="H294" s="38"/>
      <c r="I294" s="35" t="s">
        <v>10293</v>
      </c>
      <c r="J294" s="36" t="s">
        <v>276</v>
      </c>
    </row>
    <row r="295" spans="1:10" x14ac:dyDescent="0.25">
      <c r="A295" s="31" t="s">
        <v>277</v>
      </c>
      <c r="B295" s="31">
        <v>11.02</v>
      </c>
      <c r="C295" s="32" t="s">
        <v>10306</v>
      </c>
      <c r="D295" s="31" t="s">
        <v>10292</v>
      </c>
      <c r="E295" s="40" t="s">
        <v>9295</v>
      </c>
      <c r="F295" s="38" t="s">
        <v>8900</v>
      </c>
      <c r="G295" s="38" t="s">
        <v>9295</v>
      </c>
      <c r="H295" s="38" t="s">
        <v>9295</v>
      </c>
      <c r="I295" s="35" t="s">
        <v>10306</v>
      </c>
      <c r="J295" s="36" t="s">
        <v>277</v>
      </c>
    </row>
    <row r="296" spans="1:10" x14ac:dyDescent="0.25">
      <c r="A296" s="31" t="s">
        <v>278</v>
      </c>
      <c r="B296" s="31">
        <v>11.020099999999999</v>
      </c>
      <c r="C296" s="32" t="s">
        <v>10307</v>
      </c>
      <c r="D296" s="31" t="s">
        <v>10292</v>
      </c>
      <c r="E296" s="40" t="s">
        <v>10308</v>
      </c>
      <c r="F296" s="38" t="s">
        <v>8900</v>
      </c>
      <c r="G296" s="38" t="s">
        <v>9295</v>
      </c>
      <c r="H296" s="38"/>
      <c r="I296" s="35" t="s">
        <v>10306</v>
      </c>
      <c r="J296" s="36" t="s">
        <v>278</v>
      </c>
    </row>
    <row r="297" spans="1:10" x14ac:dyDescent="0.25">
      <c r="A297" s="31" t="s">
        <v>279</v>
      </c>
      <c r="B297" s="31">
        <v>11.020200000000001</v>
      </c>
      <c r="C297" s="32" t="s">
        <v>10309</v>
      </c>
      <c r="D297" s="31" t="s">
        <v>10292</v>
      </c>
      <c r="E297" s="40" t="s">
        <v>10310</v>
      </c>
      <c r="F297" s="38" t="s">
        <v>8900</v>
      </c>
      <c r="G297" s="38" t="s">
        <v>9295</v>
      </c>
      <c r="H297" s="38"/>
      <c r="I297" s="35" t="s">
        <v>10306</v>
      </c>
      <c r="J297" s="36" t="s">
        <v>279</v>
      </c>
    </row>
    <row r="298" spans="1:10" x14ac:dyDescent="0.25">
      <c r="A298" s="31" t="s">
        <v>280</v>
      </c>
      <c r="B298" s="31">
        <v>11.020300000000001</v>
      </c>
      <c r="C298" s="32" t="s">
        <v>10311</v>
      </c>
      <c r="D298" s="31" t="s">
        <v>10292</v>
      </c>
      <c r="E298" s="40" t="s">
        <v>10312</v>
      </c>
      <c r="F298" s="38" t="s">
        <v>8900</v>
      </c>
      <c r="G298" s="38" t="s">
        <v>9295</v>
      </c>
      <c r="H298" s="38"/>
      <c r="I298" s="35" t="s">
        <v>10306</v>
      </c>
      <c r="J298" s="36" t="s">
        <v>280</v>
      </c>
    </row>
    <row r="299" spans="1:10" x14ac:dyDescent="0.25">
      <c r="A299" s="31" t="s">
        <v>1848</v>
      </c>
      <c r="B299" s="31">
        <v>11.0204</v>
      </c>
      <c r="C299" s="32" t="s">
        <v>10313</v>
      </c>
      <c r="D299" s="31" t="s">
        <v>10292</v>
      </c>
      <c r="E299" s="40" t="s">
        <v>10314</v>
      </c>
      <c r="F299" s="38" t="s">
        <v>8900</v>
      </c>
      <c r="G299" s="38" t="s">
        <v>9295</v>
      </c>
      <c r="H299" s="38"/>
      <c r="I299" s="35" t="s">
        <v>10306</v>
      </c>
      <c r="J299" s="36" t="s">
        <v>1848</v>
      </c>
    </row>
    <row r="300" spans="1:10" x14ac:dyDescent="0.25">
      <c r="A300" s="31" t="s">
        <v>1849</v>
      </c>
      <c r="B300" s="31">
        <v>11.0205</v>
      </c>
      <c r="C300" s="32" t="s">
        <v>10315</v>
      </c>
      <c r="D300" s="31" t="s">
        <v>10292</v>
      </c>
      <c r="E300" s="40" t="s">
        <v>10316</v>
      </c>
      <c r="F300" s="38" t="s">
        <v>8900</v>
      </c>
      <c r="G300" s="38" t="s">
        <v>9295</v>
      </c>
      <c r="H300" s="38"/>
      <c r="I300" s="35" t="s">
        <v>10306</v>
      </c>
      <c r="J300" s="36" t="s">
        <v>1849</v>
      </c>
    </row>
    <row r="301" spans="1:10" x14ac:dyDescent="0.25">
      <c r="A301" s="31" t="s">
        <v>281</v>
      </c>
      <c r="B301" s="31">
        <v>11.0299</v>
      </c>
      <c r="C301" s="32" t="s">
        <v>10317</v>
      </c>
      <c r="D301" s="31" t="s">
        <v>10292</v>
      </c>
      <c r="E301" s="40" t="s">
        <v>10318</v>
      </c>
      <c r="F301" s="38" t="s">
        <v>8900</v>
      </c>
      <c r="G301" s="38" t="s">
        <v>9295</v>
      </c>
      <c r="H301" s="38"/>
      <c r="I301" s="35" t="s">
        <v>10306</v>
      </c>
      <c r="J301" s="36" t="s">
        <v>281</v>
      </c>
    </row>
    <row r="302" spans="1:10" x14ac:dyDescent="0.25">
      <c r="A302" s="31" t="s">
        <v>282</v>
      </c>
      <c r="B302" s="31">
        <v>11.03</v>
      </c>
      <c r="C302" s="32" t="s">
        <v>10319</v>
      </c>
      <c r="D302" s="31" t="s">
        <v>10292</v>
      </c>
      <c r="E302" s="40" t="s">
        <v>9296</v>
      </c>
      <c r="F302" s="38" t="s">
        <v>8900</v>
      </c>
      <c r="G302" s="38" t="s">
        <v>9296</v>
      </c>
      <c r="H302" s="38" t="s">
        <v>9296</v>
      </c>
      <c r="I302" s="35" t="s">
        <v>10319</v>
      </c>
      <c r="J302" s="36" t="s">
        <v>282</v>
      </c>
    </row>
    <row r="303" spans="1:10" x14ac:dyDescent="0.25">
      <c r="A303" s="31" t="s">
        <v>1850</v>
      </c>
      <c r="B303" s="31">
        <v>11.030099999999999</v>
      </c>
      <c r="C303" s="32" t="s">
        <v>10320</v>
      </c>
      <c r="D303" s="31" t="s">
        <v>10292</v>
      </c>
      <c r="E303" s="40" t="s">
        <v>10321</v>
      </c>
      <c r="F303" s="38" t="s">
        <v>8900</v>
      </c>
      <c r="G303" s="38" t="s">
        <v>9296</v>
      </c>
      <c r="H303" s="38"/>
      <c r="I303" s="35" t="s">
        <v>10319</v>
      </c>
      <c r="J303" s="36" t="s">
        <v>1850</v>
      </c>
    </row>
    <row r="304" spans="1:10" x14ac:dyDescent="0.25">
      <c r="A304" s="31" t="s">
        <v>283</v>
      </c>
      <c r="B304" s="31">
        <v>11.04</v>
      </c>
      <c r="C304" s="32" t="s">
        <v>10322</v>
      </c>
      <c r="D304" s="31" t="s">
        <v>10292</v>
      </c>
      <c r="E304" s="40" t="s">
        <v>9297</v>
      </c>
      <c r="F304" s="38" t="s">
        <v>8900</v>
      </c>
      <c r="G304" s="38" t="s">
        <v>9297</v>
      </c>
      <c r="H304" s="38" t="s">
        <v>9297</v>
      </c>
      <c r="I304" s="35" t="s">
        <v>10322</v>
      </c>
      <c r="J304" s="36" t="s">
        <v>283</v>
      </c>
    </row>
    <row r="305" spans="1:10" x14ac:dyDescent="0.25">
      <c r="A305" s="31" t="s">
        <v>283</v>
      </c>
      <c r="B305" s="31">
        <v>11.040100000000001</v>
      </c>
      <c r="C305" s="32" t="s">
        <v>10323</v>
      </c>
      <c r="D305" s="31" t="s">
        <v>10292</v>
      </c>
      <c r="E305" s="40" t="s">
        <v>10324</v>
      </c>
      <c r="F305" s="38" t="s">
        <v>8900</v>
      </c>
      <c r="G305" s="38" t="s">
        <v>9297</v>
      </c>
      <c r="H305" s="38"/>
      <c r="I305" s="35" t="s">
        <v>10322</v>
      </c>
      <c r="J305" s="36" t="s">
        <v>283</v>
      </c>
    </row>
    <row r="306" spans="1:10" x14ac:dyDescent="0.25">
      <c r="A306" s="31" t="s">
        <v>284</v>
      </c>
      <c r="B306" s="31">
        <v>11.05</v>
      </c>
      <c r="C306" s="32" t="s">
        <v>10325</v>
      </c>
      <c r="D306" s="31" t="s">
        <v>10292</v>
      </c>
      <c r="E306" s="40" t="s">
        <v>9298</v>
      </c>
      <c r="F306" s="38" t="s">
        <v>8900</v>
      </c>
      <c r="G306" s="38" t="s">
        <v>9298</v>
      </c>
      <c r="H306" s="38" t="s">
        <v>9298</v>
      </c>
      <c r="I306" s="35" t="s">
        <v>10325</v>
      </c>
      <c r="J306" s="36" t="s">
        <v>284</v>
      </c>
    </row>
    <row r="307" spans="1:10" x14ac:dyDescent="0.25">
      <c r="A307" s="31" t="s">
        <v>1851</v>
      </c>
      <c r="B307" s="31">
        <v>11.0501</v>
      </c>
      <c r="C307" s="32" t="s">
        <v>10326</v>
      </c>
      <c r="D307" s="31" t="s">
        <v>10292</v>
      </c>
      <c r="E307" s="40" t="s">
        <v>10327</v>
      </c>
      <c r="F307" s="38" t="s">
        <v>8900</v>
      </c>
      <c r="G307" s="38" t="s">
        <v>9298</v>
      </c>
      <c r="H307" s="38"/>
      <c r="I307" s="35" t="s">
        <v>10325</v>
      </c>
      <c r="J307" s="36" t="s">
        <v>1851</v>
      </c>
    </row>
    <row r="308" spans="1:10" x14ac:dyDescent="0.25">
      <c r="A308" s="31" t="s">
        <v>285</v>
      </c>
      <c r="B308" s="31">
        <v>11.06</v>
      </c>
      <c r="C308" s="32" t="s">
        <v>10328</v>
      </c>
      <c r="D308" s="31" t="s">
        <v>10292</v>
      </c>
      <c r="E308" s="40" t="s">
        <v>9299</v>
      </c>
      <c r="F308" s="38" t="s">
        <v>8900</v>
      </c>
      <c r="G308" s="38" t="s">
        <v>9299</v>
      </c>
      <c r="H308" s="38" t="s">
        <v>9299</v>
      </c>
      <c r="I308" s="35" t="s">
        <v>10328</v>
      </c>
      <c r="J308" s="36" t="s">
        <v>285</v>
      </c>
    </row>
    <row r="309" spans="1:10" x14ac:dyDescent="0.25">
      <c r="A309" s="31" t="s">
        <v>286</v>
      </c>
      <c r="B309" s="31">
        <v>11.0601</v>
      </c>
      <c r="C309" s="32" t="s">
        <v>10329</v>
      </c>
      <c r="D309" s="31" t="s">
        <v>10292</v>
      </c>
      <c r="E309" s="40" t="s">
        <v>10330</v>
      </c>
      <c r="F309" s="38" t="s">
        <v>8900</v>
      </c>
      <c r="G309" s="38" t="s">
        <v>9299</v>
      </c>
      <c r="H309" s="38"/>
      <c r="I309" s="35" t="s">
        <v>10328</v>
      </c>
      <c r="J309" s="36" t="s">
        <v>286</v>
      </c>
    </row>
    <row r="310" spans="1:10" x14ac:dyDescent="0.25">
      <c r="A310" s="31" t="s">
        <v>287</v>
      </c>
      <c r="B310" s="31">
        <v>11.0602</v>
      </c>
      <c r="C310" s="32" t="s">
        <v>10331</v>
      </c>
      <c r="D310" s="31" t="s">
        <v>10292</v>
      </c>
      <c r="E310" s="40" t="s">
        <v>10332</v>
      </c>
      <c r="F310" s="38" t="s">
        <v>8900</v>
      </c>
      <c r="G310" s="38" t="s">
        <v>9299</v>
      </c>
      <c r="H310" s="38"/>
      <c r="I310" s="35" t="s">
        <v>10328</v>
      </c>
      <c r="J310" s="36" t="s">
        <v>287</v>
      </c>
    </row>
    <row r="311" spans="1:10" x14ac:dyDescent="0.25">
      <c r="A311" s="31" t="s">
        <v>288</v>
      </c>
      <c r="B311" s="31">
        <v>11.069900000000001</v>
      </c>
      <c r="C311" s="32" t="s">
        <v>10333</v>
      </c>
      <c r="D311" s="31" t="s">
        <v>10292</v>
      </c>
      <c r="E311" s="40" t="s">
        <v>10334</v>
      </c>
      <c r="F311" s="38" t="s">
        <v>8900</v>
      </c>
      <c r="G311" s="38" t="s">
        <v>9299</v>
      </c>
      <c r="H311" s="38"/>
      <c r="I311" s="35" t="s">
        <v>10328</v>
      </c>
      <c r="J311" s="36" t="s">
        <v>288</v>
      </c>
    </row>
    <row r="312" spans="1:10" x14ac:dyDescent="0.25">
      <c r="A312" s="31" t="s">
        <v>289</v>
      </c>
      <c r="B312" s="31">
        <v>11.07</v>
      </c>
      <c r="C312" s="32" t="s">
        <v>10335</v>
      </c>
      <c r="D312" s="31" t="s">
        <v>10292</v>
      </c>
      <c r="E312" s="40" t="s">
        <v>9300</v>
      </c>
      <c r="F312" s="38" t="s">
        <v>8900</v>
      </c>
      <c r="G312" s="38" t="s">
        <v>9300</v>
      </c>
      <c r="H312" s="38" t="s">
        <v>9300</v>
      </c>
      <c r="I312" s="35" t="s">
        <v>10335</v>
      </c>
      <c r="J312" s="36" t="s">
        <v>289</v>
      </c>
    </row>
    <row r="313" spans="1:10" x14ac:dyDescent="0.25">
      <c r="A313" s="31" t="s">
        <v>289</v>
      </c>
      <c r="B313" s="31">
        <v>11.0701</v>
      </c>
      <c r="C313" s="32" t="s">
        <v>10336</v>
      </c>
      <c r="D313" s="31" t="s">
        <v>10292</v>
      </c>
      <c r="E313" s="40" t="s">
        <v>10337</v>
      </c>
      <c r="F313" s="38" t="s">
        <v>8900</v>
      </c>
      <c r="G313" s="38" t="s">
        <v>9300</v>
      </c>
      <c r="H313" s="38"/>
      <c r="I313" s="35" t="s">
        <v>10335</v>
      </c>
      <c r="J313" s="36" t="s">
        <v>289</v>
      </c>
    </row>
    <row r="314" spans="1:10" x14ac:dyDescent="0.25">
      <c r="A314" s="31" t="s">
        <v>290</v>
      </c>
      <c r="B314" s="31">
        <v>11.08</v>
      </c>
      <c r="C314" s="32" t="s">
        <v>10338</v>
      </c>
      <c r="D314" s="31" t="s">
        <v>10292</v>
      </c>
      <c r="E314" s="40" t="s">
        <v>9301</v>
      </c>
      <c r="F314" s="38" t="s">
        <v>8900</v>
      </c>
      <c r="G314" s="38" t="s">
        <v>9301</v>
      </c>
      <c r="H314" s="38" t="s">
        <v>9301</v>
      </c>
      <c r="I314" s="35" t="s">
        <v>10338</v>
      </c>
      <c r="J314" s="36" t="s">
        <v>290</v>
      </c>
    </row>
    <row r="315" spans="1:10" x14ac:dyDescent="0.25">
      <c r="A315" s="31" t="s">
        <v>291</v>
      </c>
      <c r="B315" s="31">
        <v>11.0801</v>
      </c>
      <c r="C315" s="32" t="s">
        <v>10339</v>
      </c>
      <c r="D315" s="31" t="s">
        <v>10292</v>
      </c>
      <c r="E315" s="40" t="s">
        <v>10340</v>
      </c>
      <c r="F315" s="38" t="s">
        <v>8900</v>
      </c>
      <c r="G315" s="38" t="s">
        <v>9301</v>
      </c>
      <c r="H315" s="38"/>
      <c r="I315" s="35" t="s">
        <v>10338</v>
      </c>
      <c r="J315" s="36" t="s">
        <v>291</v>
      </c>
    </row>
    <row r="316" spans="1:10" x14ac:dyDescent="0.25">
      <c r="A316" s="31" t="s">
        <v>292</v>
      </c>
      <c r="B316" s="31">
        <v>11.0802</v>
      </c>
      <c r="C316" s="32" t="s">
        <v>10341</v>
      </c>
      <c r="D316" s="31" t="s">
        <v>10292</v>
      </c>
      <c r="E316" s="40" t="s">
        <v>10342</v>
      </c>
      <c r="F316" s="38" t="s">
        <v>8900</v>
      </c>
      <c r="G316" s="38" t="s">
        <v>9301</v>
      </c>
      <c r="H316" s="38"/>
      <c r="I316" s="35" t="s">
        <v>10338</v>
      </c>
      <c r="J316" s="36" t="s">
        <v>292</v>
      </c>
    </row>
    <row r="317" spans="1:10" x14ac:dyDescent="0.25">
      <c r="A317" s="31" t="s">
        <v>293</v>
      </c>
      <c r="B317" s="31">
        <v>11.080299999999999</v>
      </c>
      <c r="C317" s="32" t="s">
        <v>10343</v>
      </c>
      <c r="D317" s="31" t="s">
        <v>10292</v>
      </c>
      <c r="E317" s="40" t="s">
        <v>10344</v>
      </c>
      <c r="F317" s="38" t="s">
        <v>8900</v>
      </c>
      <c r="G317" s="38" t="s">
        <v>9301</v>
      </c>
      <c r="H317" s="38"/>
      <c r="I317" s="35" t="s">
        <v>10338</v>
      </c>
      <c r="J317" s="36" t="s">
        <v>293</v>
      </c>
    </row>
    <row r="318" spans="1:10" x14ac:dyDescent="0.25">
      <c r="A318" s="31" t="s">
        <v>294</v>
      </c>
      <c r="B318" s="31">
        <v>11.080399999999999</v>
      </c>
      <c r="C318" s="32" t="s">
        <v>10345</v>
      </c>
      <c r="D318" s="31" t="s">
        <v>10292</v>
      </c>
      <c r="E318" s="40" t="s">
        <v>10346</v>
      </c>
      <c r="F318" s="38" t="s">
        <v>8900</v>
      </c>
      <c r="G318" s="38" t="s">
        <v>9301</v>
      </c>
      <c r="H318" s="38"/>
      <c r="I318" s="35" t="s">
        <v>10338</v>
      </c>
      <c r="J318" s="36" t="s">
        <v>294</v>
      </c>
    </row>
    <row r="319" spans="1:10" x14ac:dyDescent="0.25">
      <c r="A319" s="31" t="s">
        <v>295</v>
      </c>
      <c r="B319" s="31">
        <v>11.0899</v>
      </c>
      <c r="C319" s="32" t="s">
        <v>10347</v>
      </c>
      <c r="D319" s="31" t="s">
        <v>10292</v>
      </c>
      <c r="E319" s="40" t="s">
        <v>10348</v>
      </c>
      <c r="F319" s="38" t="s">
        <v>8900</v>
      </c>
      <c r="G319" s="38" t="s">
        <v>9301</v>
      </c>
      <c r="H319" s="38"/>
      <c r="I319" s="35" t="s">
        <v>10338</v>
      </c>
      <c r="J319" s="36" t="s">
        <v>295</v>
      </c>
    </row>
    <row r="320" spans="1:10" x14ac:dyDescent="0.25">
      <c r="A320" s="31" t="s">
        <v>296</v>
      </c>
      <c r="B320" s="31">
        <v>11.09</v>
      </c>
      <c r="C320" s="32" t="s">
        <v>10349</v>
      </c>
      <c r="D320" s="31" t="s">
        <v>10292</v>
      </c>
      <c r="E320" s="40" t="s">
        <v>9302</v>
      </c>
      <c r="F320" s="38" t="s">
        <v>8900</v>
      </c>
      <c r="G320" s="38" t="s">
        <v>9302</v>
      </c>
      <c r="H320" s="38" t="s">
        <v>9302</v>
      </c>
      <c r="I320" s="35" t="s">
        <v>10349</v>
      </c>
      <c r="J320" s="36" t="s">
        <v>296</v>
      </c>
    </row>
    <row r="321" spans="1:10" x14ac:dyDescent="0.25">
      <c r="A321" s="31" t="s">
        <v>296</v>
      </c>
      <c r="B321" s="31">
        <v>11.0901</v>
      </c>
      <c r="C321" s="32" t="s">
        <v>10350</v>
      </c>
      <c r="D321" s="31" t="s">
        <v>10292</v>
      </c>
      <c r="E321" s="40" t="s">
        <v>10351</v>
      </c>
      <c r="F321" s="38" t="s">
        <v>8900</v>
      </c>
      <c r="G321" s="38" t="s">
        <v>9302</v>
      </c>
      <c r="H321" s="38"/>
      <c r="I321" s="35" t="s">
        <v>10349</v>
      </c>
      <c r="J321" s="36" t="s">
        <v>296</v>
      </c>
    </row>
    <row r="322" spans="1:10" x14ac:dyDescent="0.25">
      <c r="A322" s="31" t="s">
        <v>1852</v>
      </c>
      <c r="B322" s="31">
        <v>11.090199999999999</v>
      </c>
      <c r="C322" s="32" t="s">
        <v>10352</v>
      </c>
      <c r="D322" s="31" t="s">
        <v>10292</v>
      </c>
      <c r="E322" s="40" t="s">
        <v>10353</v>
      </c>
      <c r="F322" s="38" t="s">
        <v>8900</v>
      </c>
      <c r="G322" s="38" t="s">
        <v>9302</v>
      </c>
      <c r="H322" s="38"/>
      <c r="I322" s="35" t="s">
        <v>10349</v>
      </c>
      <c r="J322" s="36" t="s">
        <v>1852</v>
      </c>
    </row>
    <row r="323" spans="1:10" x14ac:dyDescent="0.25">
      <c r="A323" s="31" t="s">
        <v>1853</v>
      </c>
      <c r="B323" s="31">
        <v>11.0999</v>
      </c>
      <c r="C323" s="32" t="s">
        <v>10354</v>
      </c>
      <c r="D323" s="31" t="s">
        <v>10292</v>
      </c>
      <c r="E323" s="40" t="s">
        <v>10355</v>
      </c>
      <c r="F323" s="38" t="s">
        <v>8900</v>
      </c>
      <c r="G323" s="38" t="s">
        <v>9302</v>
      </c>
      <c r="H323" s="38"/>
      <c r="I323" s="35" t="s">
        <v>10349</v>
      </c>
      <c r="J323" s="36" t="s">
        <v>1853</v>
      </c>
    </row>
    <row r="324" spans="1:10" x14ac:dyDescent="0.25">
      <c r="A324" s="31" t="s">
        <v>297</v>
      </c>
      <c r="B324" s="31">
        <v>11.1</v>
      </c>
      <c r="C324" s="32" t="s">
        <v>10356</v>
      </c>
      <c r="D324" s="31" t="s">
        <v>10292</v>
      </c>
      <c r="E324" s="40" t="s">
        <v>9303</v>
      </c>
      <c r="F324" s="38" t="s">
        <v>8900</v>
      </c>
      <c r="G324" s="38" t="s">
        <v>9303</v>
      </c>
      <c r="H324" s="38" t="s">
        <v>9303</v>
      </c>
      <c r="I324" s="35" t="s">
        <v>10356</v>
      </c>
      <c r="J324" s="36" t="s">
        <v>297</v>
      </c>
    </row>
    <row r="325" spans="1:10" x14ac:dyDescent="0.25">
      <c r="A325" s="31" t="s">
        <v>298</v>
      </c>
      <c r="B325" s="31">
        <v>11.100099999999999</v>
      </c>
      <c r="C325" s="32" t="s">
        <v>10357</v>
      </c>
      <c r="D325" s="31" t="s">
        <v>10292</v>
      </c>
      <c r="E325" s="40" t="s">
        <v>10358</v>
      </c>
      <c r="F325" s="38" t="s">
        <v>8900</v>
      </c>
      <c r="G325" s="38" t="s">
        <v>9303</v>
      </c>
      <c r="H325" s="38"/>
      <c r="I325" s="35" t="s">
        <v>10356</v>
      </c>
      <c r="J325" s="36" t="s">
        <v>298</v>
      </c>
    </row>
    <row r="326" spans="1:10" x14ac:dyDescent="0.25">
      <c r="A326" s="31" t="s">
        <v>299</v>
      </c>
      <c r="B326" s="31">
        <v>11.100199999999999</v>
      </c>
      <c r="C326" s="32" t="s">
        <v>10359</v>
      </c>
      <c r="D326" s="31" t="s">
        <v>10292</v>
      </c>
      <c r="E326" s="40" t="s">
        <v>10360</v>
      </c>
      <c r="F326" s="38" t="s">
        <v>8900</v>
      </c>
      <c r="G326" s="38" t="s">
        <v>9303</v>
      </c>
      <c r="H326" s="38"/>
      <c r="I326" s="35" t="s">
        <v>10356</v>
      </c>
      <c r="J326" s="36" t="s">
        <v>299</v>
      </c>
    </row>
    <row r="327" spans="1:10" x14ac:dyDescent="0.25">
      <c r="A327" s="31" t="s">
        <v>1854</v>
      </c>
      <c r="B327" s="31">
        <v>11.100300000000001</v>
      </c>
      <c r="C327" s="32" t="s">
        <v>10361</v>
      </c>
      <c r="D327" s="31" t="s">
        <v>10292</v>
      </c>
      <c r="E327" s="40" t="s">
        <v>10362</v>
      </c>
      <c r="F327" s="38" t="s">
        <v>8900</v>
      </c>
      <c r="G327" s="38" t="s">
        <v>9303</v>
      </c>
      <c r="H327" s="38"/>
      <c r="I327" s="35" t="s">
        <v>10356</v>
      </c>
      <c r="J327" s="36" t="s">
        <v>1854</v>
      </c>
    </row>
    <row r="328" spans="1:10" x14ac:dyDescent="0.25">
      <c r="A328" s="31" t="s">
        <v>300</v>
      </c>
      <c r="B328" s="31">
        <v>11.1004</v>
      </c>
      <c r="C328" s="32" t="s">
        <v>10363</v>
      </c>
      <c r="D328" s="31" t="s">
        <v>10292</v>
      </c>
      <c r="E328" s="40" t="s">
        <v>10364</v>
      </c>
      <c r="F328" s="38" t="s">
        <v>8900</v>
      </c>
      <c r="G328" s="38" t="s">
        <v>9303</v>
      </c>
      <c r="H328" s="38"/>
      <c r="I328" s="35" t="s">
        <v>10356</v>
      </c>
      <c r="J328" s="36" t="s">
        <v>300</v>
      </c>
    </row>
    <row r="329" spans="1:10" x14ac:dyDescent="0.25">
      <c r="A329" s="31" t="s">
        <v>301</v>
      </c>
      <c r="B329" s="31">
        <v>11.1005</v>
      </c>
      <c r="C329" s="32" t="s">
        <v>10365</v>
      </c>
      <c r="D329" s="31" t="s">
        <v>10292</v>
      </c>
      <c r="E329" s="40" t="s">
        <v>10366</v>
      </c>
      <c r="F329" s="38" t="s">
        <v>8900</v>
      </c>
      <c r="G329" s="38" t="s">
        <v>9303</v>
      </c>
      <c r="H329" s="38"/>
      <c r="I329" s="35" t="s">
        <v>10356</v>
      </c>
      <c r="J329" s="36" t="s">
        <v>301</v>
      </c>
    </row>
    <row r="330" spans="1:10" x14ac:dyDescent="0.25">
      <c r="A330" s="31" t="s">
        <v>302</v>
      </c>
      <c r="B330" s="31">
        <v>11.1006</v>
      </c>
      <c r="C330" s="32" t="s">
        <v>10367</v>
      </c>
      <c r="D330" s="31" t="s">
        <v>10292</v>
      </c>
      <c r="E330" s="40" t="s">
        <v>10368</v>
      </c>
      <c r="F330" s="38" t="s">
        <v>8900</v>
      </c>
      <c r="G330" s="38" t="s">
        <v>9303</v>
      </c>
      <c r="H330" s="38"/>
      <c r="I330" s="35" t="s">
        <v>10356</v>
      </c>
      <c r="J330" s="36" t="s">
        <v>302</v>
      </c>
    </row>
    <row r="331" spans="1:10" x14ac:dyDescent="0.25">
      <c r="A331" s="31" t="s">
        <v>303</v>
      </c>
      <c r="B331" s="31">
        <v>11.1099</v>
      </c>
      <c r="C331" s="32" t="s">
        <v>10369</v>
      </c>
      <c r="D331" s="31" t="s">
        <v>10292</v>
      </c>
      <c r="E331" s="40" t="s">
        <v>10370</v>
      </c>
      <c r="F331" s="38" t="s">
        <v>8900</v>
      </c>
      <c r="G331" s="38" t="s">
        <v>9303</v>
      </c>
      <c r="H331" s="38"/>
      <c r="I331" s="35" t="s">
        <v>10356</v>
      </c>
      <c r="J331" s="36" t="s">
        <v>303</v>
      </c>
    </row>
    <row r="332" spans="1:10" x14ac:dyDescent="0.25">
      <c r="A332" s="31" t="s">
        <v>304</v>
      </c>
      <c r="B332" s="31">
        <v>11.99</v>
      </c>
      <c r="C332" s="32" t="s">
        <v>10371</v>
      </c>
      <c r="D332" s="31" t="s">
        <v>10292</v>
      </c>
      <c r="E332" s="40" t="s">
        <v>9304</v>
      </c>
      <c r="F332" s="38" t="s">
        <v>8900</v>
      </c>
      <c r="G332" s="38" t="s">
        <v>9304</v>
      </c>
      <c r="H332" s="38" t="s">
        <v>9304</v>
      </c>
      <c r="I332" s="35" t="s">
        <v>10371</v>
      </c>
      <c r="J332" s="36" t="s">
        <v>304</v>
      </c>
    </row>
    <row r="333" spans="1:10" x14ac:dyDescent="0.25">
      <c r="A333" s="31" t="s">
        <v>304</v>
      </c>
      <c r="B333" s="31">
        <v>11.9999</v>
      </c>
      <c r="C333" s="32" t="s">
        <v>10372</v>
      </c>
      <c r="D333" s="31" t="s">
        <v>10292</v>
      </c>
      <c r="E333" s="40" t="s">
        <v>10373</v>
      </c>
      <c r="F333" s="38" t="s">
        <v>8900</v>
      </c>
      <c r="G333" s="38" t="s">
        <v>9304</v>
      </c>
      <c r="H333" s="38"/>
      <c r="I333" s="35" t="s">
        <v>10371</v>
      </c>
      <c r="J333" s="36" t="s">
        <v>304</v>
      </c>
    </row>
    <row r="334" spans="1:10" x14ac:dyDescent="0.25">
      <c r="A334" s="31" t="s">
        <v>1855</v>
      </c>
      <c r="B334" s="31">
        <v>12</v>
      </c>
      <c r="C334" s="32" t="s">
        <v>10374</v>
      </c>
      <c r="D334" s="31" t="s">
        <v>10374</v>
      </c>
      <c r="E334" s="40" t="s">
        <v>9306</v>
      </c>
      <c r="F334" s="23" t="s">
        <v>9305</v>
      </c>
      <c r="G334" s="38" t="s">
        <v>9306</v>
      </c>
      <c r="H334" s="38" t="s">
        <v>9306</v>
      </c>
      <c r="I334" s="35" t="s">
        <v>10374</v>
      </c>
      <c r="J334" s="36" t="s">
        <v>1855</v>
      </c>
    </row>
    <row r="335" spans="1:10" x14ac:dyDescent="0.25">
      <c r="A335" s="31" t="s">
        <v>305</v>
      </c>
      <c r="B335" s="31">
        <v>12.03</v>
      </c>
      <c r="C335" s="32" t="s">
        <v>10375</v>
      </c>
      <c r="D335" s="31" t="s">
        <v>10374</v>
      </c>
      <c r="E335" s="40" t="s">
        <v>9307</v>
      </c>
      <c r="F335" s="23" t="s">
        <v>9305</v>
      </c>
      <c r="G335" s="38" t="s">
        <v>9307</v>
      </c>
      <c r="H335" s="38" t="s">
        <v>9307</v>
      </c>
      <c r="I335" s="35" t="s">
        <v>10375</v>
      </c>
      <c r="J335" s="36" t="s">
        <v>305</v>
      </c>
    </row>
    <row r="336" spans="1:10" x14ac:dyDescent="0.25">
      <c r="A336" s="31" t="s">
        <v>306</v>
      </c>
      <c r="B336" s="31">
        <v>12.030099999999999</v>
      </c>
      <c r="C336" s="32" t="s">
        <v>10376</v>
      </c>
      <c r="D336" s="31" t="s">
        <v>10374</v>
      </c>
      <c r="E336" s="40" t="s">
        <v>10377</v>
      </c>
      <c r="F336" s="23" t="s">
        <v>9305</v>
      </c>
      <c r="G336" s="38" t="s">
        <v>9307</v>
      </c>
      <c r="H336" s="38"/>
      <c r="I336" s="35" t="s">
        <v>10375</v>
      </c>
      <c r="J336" s="36" t="s">
        <v>306</v>
      </c>
    </row>
    <row r="337" spans="1:10" x14ac:dyDescent="0.25">
      <c r="A337" s="31" t="s">
        <v>307</v>
      </c>
      <c r="B337" s="31">
        <v>12.030200000000001</v>
      </c>
      <c r="C337" s="32" t="s">
        <v>10378</v>
      </c>
      <c r="D337" s="31" t="s">
        <v>10374</v>
      </c>
      <c r="E337" s="40" t="s">
        <v>10379</v>
      </c>
      <c r="F337" s="23" t="s">
        <v>9305</v>
      </c>
      <c r="G337" s="38" t="s">
        <v>9307</v>
      </c>
      <c r="H337" s="38"/>
      <c r="I337" s="35" t="s">
        <v>10375</v>
      </c>
      <c r="J337" s="36" t="s">
        <v>307</v>
      </c>
    </row>
    <row r="338" spans="1:10" x14ac:dyDescent="0.25">
      <c r="A338" s="31" t="s">
        <v>308</v>
      </c>
      <c r="B338" s="31">
        <v>12.0303</v>
      </c>
      <c r="C338" s="32" t="s">
        <v>10380</v>
      </c>
      <c r="D338" s="31" t="s">
        <v>10374</v>
      </c>
      <c r="E338" s="40" t="s">
        <v>10381</v>
      </c>
      <c r="F338" s="23" t="s">
        <v>9305</v>
      </c>
      <c r="G338" s="38" t="s">
        <v>9307</v>
      </c>
      <c r="H338" s="38"/>
      <c r="I338" s="35" t="s">
        <v>10375</v>
      </c>
      <c r="J338" s="36" t="s">
        <v>308</v>
      </c>
    </row>
    <row r="339" spans="1:10" x14ac:dyDescent="0.25">
      <c r="A339" s="31" t="s">
        <v>309</v>
      </c>
      <c r="B339" s="31">
        <v>12.039899999999999</v>
      </c>
      <c r="C339" s="32" t="s">
        <v>10382</v>
      </c>
      <c r="D339" s="31" t="s">
        <v>10374</v>
      </c>
      <c r="E339" s="40" t="s">
        <v>10383</v>
      </c>
      <c r="F339" s="23" t="s">
        <v>9305</v>
      </c>
      <c r="G339" s="38" t="s">
        <v>9307</v>
      </c>
      <c r="H339" s="38"/>
      <c r="I339" s="35" t="s">
        <v>10375</v>
      </c>
      <c r="J339" s="36" t="s">
        <v>309</v>
      </c>
    </row>
    <row r="340" spans="1:10" x14ac:dyDescent="0.25">
      <c r="A340" s="31" t="s">
        <v>310</v>
      </c>
      <c r="B340" s="31">
        <v>12.04</v>
      </c>
      <c r="C340" s="32" t="s">
        <v>10384</v>
      </c>
      <c r="D340" s="31" t="s">
        <v>10374</v>
      </c>
      <c r="E340" s="40" t="s">
        <v>9308</v>
      </c>
      <c r="F340" s="23" t="s">
        <v>9305</v>
      </c>
      <c r="G340" s="38" t="s">
        <v>9308</v>
      </c>
      <c r="H340" s="38" t="s">
        <v>9308</v>
      </c>
      <c r="I340" s="35" t="s">
        <v>10384</v>
      </c>
      <c r="J340" s="36" t="s">
        <v>310</v>
      </c>
    </row>
    <row r="341" spans="1:10" x14ac:dyDescent="0.25">
      <c r="A341" s="31" t="s">
        <v>311</v>
      </c>
      <c r="B341" s="31">
        <v>12.040100000000001</v>
      </c>
      <c r="C341" s="32" t="s">
        <v>10385</v>
      </c>
      <c r="D341" s="31" t="s">
        <v>10374</v>
      </c>
      <c r="E341" s="40" t="s">
        <v>10386</v>
      </c>
      <c r="F341" s="23" t="s">
        <v>9305</v>
      </c>
      <c r="G341" s="38" t="s">
        <v>9308</v>
      </c>
      <c r="H341" s="38"/>
      <c r="I341" s="35" t="s">
        <v>10384</v>
      </c>
      <c r="J341" s="36" t="s">
        <v>311</v>
      </c>
    </row>
    <row r="342" spans="1:10" x14ac:dyDescent="0.25">
      <c r="A342" s="31" t="s">
        <v>312</v>
      </c>
      <c r="B342" s="31">
        <v>12.0402</v>
      </c>
      <c r="C342" s="32" t="s">
        <v>10387</v>
      </c>
      <c r="D342" s="31" t="s">
        <v>10374</v>
      </c>
      <c r="E342" s="40" t="s">
        <v>10388</v>
      </c>
      <c r="F342" s="23" t="s">
        <v>9305</v>
      </c>
      <c r="G342" s="38" t="s">
        <v>9308</v>
      </c>
      <c r="H342" s="38"/>
      <c r="I342" s="35" t="s">
        <v>10384</v>
      </c>
      <c r="J342" s="36" t="s">
        <v>312</v>
      </c>
    </row>
    <row r="343" spans="1:10" x14ac:dyDescent="0.25">
      <c r="A343" s="31" t="s">
        <v>313</v>
      </c>
      <c r="B343" s="31">
        <v>12.0404</v>
      </c>
      <c r="C343" s="32" t="s">
        <v>10389</v>
      </c>
      <c r="D343" s="31" t="s">
        <v>10374</v>
      </c>
      <c r="E343" s="40" t="s">
        <v>10390</v>
      </c>
      <c r="F343" s="23" t="s">
        <v>9305</v>
      </c>
      <c r="G343" s="38" t="s">
        <v>9308</v>
      </c>
      <c r="H343" s="38"/>
      <c r="I343" s="35" t="s">
        <v>10384</v>
      </c>
      <c r="J343" s="36" t="s">
        <v>313</v>
      </c>
    </row>
    <row r="344" spans="1:10" x14ac:dyDescent="0.25">
      <c r="A344" s="31" t="s">
        <v>314</v>
      </c>
      <c r="B344" s="31">
        <v>12.0406</v>
      </c>
      <c r="C344" s="32" t="s">
        <v>10391</v>
      </c>
      <c r="D344" s="31" t="s">
        <v>10374</v>
      </c>
      <c r="E344" s="40" t="s">
        <v>10392</v>
      </c>
      <c r="F344" s="23" t="s">
        <v>9305</v>
      </c>
      <c r="G344" s="38" t="s">
        <v>9308</v>
      </c>
      <c r="H344" s="38"/>
      <c r="I344" s="35" t="s">
        <v>10384</v>
      </c>
      <c r="J344" s="36" t="s">
        <v>314</v>
      </c>
    </row>
    <row r="345" spans="1:10" x14ac:dyDescent="0.25">
      <c r="A345" s="31" t="s">
        <v>315</v>
      </c>
      <c r="B345" s="31">
        <v>12.040699999999999</v>
      </c>
      <c r="C345" s="32" t="s">
        <v>10393</v>
      </c>
      <c r="D345" s="31" t="s">
        <v>10374</v>
      </c>
      <c r="E345" s="40" t="s">
        <v>10394</v>
      </c>
      <c r="F345" s="23" t="s">
        <v>9305</v>
      </c>
      <c r="G345" s="38" t="s">
        <v>9308</v>
      </c>
      <c r="H345" s="38"/>
      <c r="I345" s="35" t="s">
        <v>10384</v>
      </c>
      <c r="J345" s="36" t="s">
        <v>315</v>
      </c>
    </row>
    <row r="346" spans="1:10" x14ac:dyDescent="0.25">
      <c r="A346" s="31" t="s">
        <v>316</v>
      </c>
      <c r="B346" s="31">
        <v>12.040800000000001</v>
      </c>
      <c r="C346" s="32" t="s">
        <v>10395</v>
      </c>
      <c r="D346" s="31" t="s">
        <v>10374</v>
      </c>
      <c r="E346" s="40" t="s">
        <v>10396</v>
      </c>
      <c r="F346" s="23" t="s">
        <v>9305</v>
      </c>
      <c r="G346" s="38" t="s">
        <v>9308</v>
      </c>
      <c r="H346" s="38"/>
      <c r="I346" s="35" t="s">
        <v>10384</v>
      </c>
      <c r="J346" s="36" t="s">
        <v>316</v>
      </c>
    </row>
    <row r="347" spans="1:10" x14ac:dyDescent="0.25">
      <c r="A347" s="31" t="s">
        <v>317</v>
      </c>
      <c r="B347" s="31">
        <v>12.040900000000001</v>
      </c>
      <c r="C347" s="32" t="s">
        <v>10397</v>
      </c>
      <c r="D347" s="31" t="s">
        <v>10374</v>
      </c>
      <c r="E347" s="40" t="s">
        <v>10398</v>
      </c>
      <c r="F347" s="23" t="s">
        <v>9305</v>
      </c>
      <c r="G347" s="38" t="s">
        <v>9308</v>
      </c>
      <c r="H347" s="38"/>
      <c r="I347" s="35" t="s">
        <v>10384</v>
      </c>
      <c r="J347" s="36" t="s">
        <v>317</v>
      </c>
    </row>
    <row r="348" spans="1:10" x14ac:dyDescent="0.25">
      <c r="A348" s="31" t="s">
        <v>318</v>
      </c>
      <c r="B348" s="31">
        <v>12.041</v>
      </c>
      <c r="C348" s="32" t="s">
        <v>10399</v>
      </c>
      <c r="D348" s="31" t="s">
        <v>10374</v>
      </c>
      <c r="E348" s="40" t="s">
        <v>10400</v>
      </c>
      <c r="F348" s="23" t="s">
        <v>9305</v>
      </c>
      <c r="G348" s="38" t="s">
        <v>9308</v>
      </c>
      <c r="H348" s="38"/>
      <c r="I348" s="35" t="s">
        <v>10384</v>
      </c>
      <c r="J348" s="36" t="s">
        <v>318</v>
      </c>
    </row>
    <row r="349" spans="1:10" x14ac:dyDescent="0.25">
      <c r="A349" s="31" t="s">
        <v>319</v>
      </c>
      <c r="B349" s="31">
        <v>12.0411</v>
      </c>
      <c r="C349" s="32" t="s">
        <v>10401</v>
      </c>
      <c r="D349" s="31" t="s">
        <v>10374</v>
      </c>
      <c r="E349" s="40" t="s">
        <v>10402</v>
      </c>
      <c r="F349" s="23" t="s">
        <v>9305</v>
      </c>
      <c r="G349" s="38" t="s">
        <v>9308</v>
      </c>
      <c r="H349" s="38"/>
      <c r="I349" s="35" t="s">
        <v>10384</v>
      </c>
      <c r="J349" s="36" t="s">
        <v>319</v>
      </c>
    </row>
    <row r="350" spans="1:10" x14ac:dyDescent="0.25">
      <c r="A350" s="31" t="s">
        <v>320</v>
      </c>
      <c r="B350" s="31">
        <v>12.0412</v>
      </c>
      <c r="C350" s="32" t="s">
        <v>10403</v>
      </c>
      <c r="D350" s="31" t="s">
        <v>10374</v>
      </c>
      <c r="E350" s="40" t="s">
        <v>10404</v>
      </c>
      <c r="F350" s="23" t="s">
        <v>9305</v>
      </c>
      <c r="G350" s="38" t="s">
        <v>9308</v>
      </c>
      <c r="H350" s="38"/>
      <c r="I350" s="35" t="s">
        <v>10384</v>
      </c>
      <c r="J350" s="36" t="s">
        <v>320</v>
      </c>
    </row>
    <row r="351" spans="1:10" x14ac:dyDescent="0.25">
      <c r="A351" s="31" t="s">
        <v>321</v>
      </c>
      <c r="B351" s="31">
        <v>12.0413</v>
      </c>
      <c r="C351" s="32" t="s">
        <v>10405</v>
      </c>
      <c r="D351" s="31" t="s">
        <v>10374</v>
      </c>
      <c r="E351" s="40" t="s">
        <v>10406</v>
      </c>
      <c r="F351" s="23" t="s">
        <v>9305</v>
      </c>
      <c r="G351" s="38" t="s">
        <v>9308</v>
      </c>
      <c r="H351" s="38"/>
      <c r="I351" s="35" t="s">
        <v>10384</v>
      </c>
      <c r="J351" s="36" t="s">
        <v>321</v>
      </c>
    </row>
    <row r="352" spans="1:10" x14ac:dyDescent="0.25">
      <c r="A352" s="31" t="s">
        <v>322</v>
      </c>
      <c r="B352" s="31">
        <v>12.041399999999999</v>
      </c>
      <c r="C352" s="32" t="s">
        <v>10407</v>
      </c>
      <c r="D352" s="31" t="s">
        <v>10374</v>
      </c>
      <c r="E352" s="40" t="s">
        <v>10408</v>
      </c>
      <c r="F352" s="23" t="s">
        <v>9305</v>
      </c>
      <c r="G352" s="38" t="s">
        <v>9308</v>
      </c>
      <c r="H352" s="38"/>
      <c r="I352" s="35" t="s">
        <v>10384</v>
      </c>
      <c r="J352" s="36" t="s">
        <v>322</v>
      </c>
    </row>
    <row r="353" spans="1:10" x14ac:dyDescent="0.25">
      <c r="A353" s="31" t="s">
        <v>323</v>
      </c>
      <c r="B353" s="31">
        <v>12.049899999999999</v>
      </c>
      <c r="C353" s="32" t="s">
        <v>10409</v>
      </c>
      <c r="D353" s="31" t="s">
        <v>10374</v>
      </c>
      <c r="E353" s="40" t="s">
        <v>10410</v>
      </c>
      <c r="F353" s="23" t="s">
        <v>9305</v>
      </c>
      <c r="G353" s="38" t="s">
        <v>9308</v>
      </c>
      <c r="H353" s="38"/>
      <c r="I353" s="35" t="s">
        <v>10384</v>
      </c>
      <c r="J353" s="36" t="s">
        <v>323</v>
      </c>
    </row>
    <row r="354" spans="1:10" x14ac:dyDescent="0.25">
      <c r="A354" s="31" t="s">
        <v>325</v>
      </c>
      <c r="B354" s="31">
        <v>12.05</v>
      </c>
      <c r="C354" s="32" t="s">
        <v>10411</v>
      </c>
      <c r="D354" s="31" t="s">
        <v>10374</v>
      </c>
      <c r="E354" s="40" t="s">
        <v>10412</v>
      </c>
      <c r="F354" s="23" t="s">
        <v>9305</v>
      </c>
      <c r="G354" s="38" t="s">
        <v>9309</v>
      </c>
      <c r="H354" s="38"/>
      <c r="I354" s="35" t="s">
        <v>10384</v>
      </c>
      <c r="J354" s="36" t="s">
        <v>325</v>
      </c>
    </row>
    <row r="355" spans="1:10" x14ac:dyDescent="0.25">
      <c r="A355" s="31" t="s">
        <v>324</v>
      </c>
      <c r="B355" s="31">
        <v>12.05</v>
      </c>
      <c r="C355" s="32" t="s">
        <v>10413</v>
      </c>
      <c r="D355" s="31" t="s">
        <v>10374</v>
      </c>
      <c r="E355" s="40" t="s">
        <v>9309</v>
      </c>
      <c r="F355" s="23" t="s">
        <v>9305</v>
      </c>
      <c r="G355" s="38" t="s">
        <v>9309</v>
      </c>
      <c r="H355" s="38" t="s">
        <v>9309</v>
      </c>
      <c r="I355" s="35" t="s">
        <v>10413</v>
      </c>
      <c r="J355" s="36" t="s">
        <v>324</v>
      </c>
    </row>
    <row r="356" spans="1:10" x14ac:dyDescent="0.25">
      <c r="A356" s="31" t="s">
        <v>326</v>
      </c>
      <c r="B356" s="31">
        <v>12.0501</v>
      </c>
      <c r="C356" s="32" t="s">
        <v>10414</v>
      </c>
      <c r="D356" s="31" t="s">
        <v>10374</v>
      </c>
      <c r="E356" s="40" t="s">
        <v>10415</v>
      </c>
      <c r="F356" s="23" t="s">
        <v>9305</v>
      </c>
      <c r="G356" s="38" t="s">
        <v>9309</v>
      </c>
      <c r="H356" s="38"/>
      <c r="I356" s="35" t="s">
        <v>10413</v>
      </c>
      <c r="J356" s="36" t="s">
        <v>326</v>
      </c>
    </row>
    <row r="357" spans="1:10" x14ac:dyDescent="0.25">
      <c r="A357" s="31" t="s">
        <v>327</v>
      </c>
      <c r="B357" s="31">
        <v>12.0502</v>
      </c>
      <c r="C357" s="32" t="s">
        <v>10416</v>
      </c>
      <c r="D357" s="31" t="s">
        <v>10374</v>
      </c>
      <c r="E357" s="40" t="s">
        <v>10417</v>
      </c>
      <c r="F357" s="23" t="s">
        <v>9305</v>
      </c>
      <c r="G357" s="38" t="s">
        <v>9309</v>
      </c>
      <c r="H357" s="38"/>
      <c r="I357" s="35" t="s">
        <v>10413</v>
      </c>
      <c r="J357" s="36" t="s">
        <v>327</v>
      </c>
    </row>
    <row r="358" spans="1:10" x14ac:dyDescent="0.25">
      <c r="A358" s="31" t="s">
        <v>328</v>
      </c>
      <c r="B358" s="31">
        <v>12.0503</v>
      </c>
      <c r="C358" s="32" t="s">
        <v>10418</v>
      </c>
      <c r="D358" s="31" t="s">
        <v>10374</v>
      </c>
      <c r="E358" s="40" t="s">
        <v>10419</v>
      </c>
      <c r="F358" s="23" t="s">
        <v>9305</v>
      </c>
      <c r="G358" s="38" t="s">
        <v>9309</v>
      </c>
      <c r="H358" s="38"/>
      <c r="I358" s="35" t="s">
        <v>10413</v>
      </c>
      <c r="J358" s="36" t="s">
        <v>328</v>
      </c>
    </row>
    <row r="359" spans="1:10" x14ac:dyDescent="0.25">
      <c r="A359" s="31" t="s">
        <v>329</v>
      </c>
      <c r="B359" s="31">
        <v>12.0504</v>
      </c>
      <c r="C359" s="32" t="s">
        <v>10420</v>
      </c>
      <c r="D359" s="31" t="s">
        <v>10374</v>
      </c>
      <c r="E359" s="40" t="s">
        <v>10421</v>
      </c>
      <c r="F359" s="23" t="s">
        <v>9305</v>
      </c>
      <c r="G359" s="38" t="s">
        <v>9309</v>
      </c>
      <c r="H359" s="38"/>
      <c r="I359" s="35" t="s">
        <v>10413</v>
      </c>
      <c r="J359" s="36" t="s">
        <v>329</v>
      </c>
    </row>
    <row r="360" spans="1:10" x14ac:dyDescent="0.25">
      <c r="A360" s="31" t="s">
        <v>330</v>
      </c>
      <c r="B360" s="31">
        <v>12.0505</v>
      </c>
      <c r="C360" s="32" t="s">
        <v>10422</v>
      </c>
      <c r="D360" s="31" t="s">
        <v>10374</v>
      </c>
      <c r="E360" s="40" t="s">
        <v>10423</v>
      </c>
      <c r="F360" s="23" t="s">
        <v>9305</v>
      </c>
      <c r="G360" s="38" t="s">
        <v>9309</v>
      </c>
      <c r="H360" s="38"/>
      <c r="I360" s="35" t="s">
        <v>10413</v>
      </c>
      <c r="J360" s="36" t="s">
        <v>330</v>
      </c>
    </row>
    <row r="361" spans="1:10" x14ac:dyDescent="0.25">
      <c r="A361" s="31" t="s">
        <v>331</v>
      </c>
      <c r="B361" s="31">
        <v>12.050599999999999</v>
      </c>
      <c r="C361" s="32" t="s">
        <v>10424</v>
      </c>
      <c r="D361" s="31" t="s">
        <v>10374</v>
      </c>
      <c r="E361" s="40" t="s">
        <v>10425</v>
      </c>
      <c r="F361" s="23" t="s">
        <v>9305</v>
      </c>
      <c r="G361" s="38" t="s">
        <v>9309</v>
      </c>
      <c r="H361" s="38"/>
      <c r="I361" s="35" t="s">
        <v>10413</v>
      </c>
      <c r="J361" s="36" t="s">
        <v>331</v>
      </c>
    </row>
    <row r="362" spans="1:10" x14ac:dyDescent="0.25">
      <c r="A362" s="31" t="s">
        <v>332</v>
      </c>
      <c r="B362" s="31">
        <v>12.050700000000001</v>
      </c>
      <c r="C362" s="32" t="s">
        <v>10426</v>
      </c>
      <c r="D362" s="31" t="s">
        <v>10374</v>
      </c>
      <c r="E362" s="40" t="s">
        <v>10427</v>
      </c>
      <c r="F362" s="23" t="s">
        <v>9305</v>
      </c>
      <c r="G362" s="38" t="s">
        <v>9309</v>
      </c>
      <c r="H362" s="38"/>
      <c r="I362" s="35" t="s">
        <v>10413</v>
      </c>
      <c r="J362" s="36" t="s">
        <v>332</v>
      </c>
    </row>
    <row r="363" spans="1:10" x14ac:dyDescent="0.25">
      <c r="A363" s="31" t="s">
        <v>333</v>
      </c>
      <c r="B363" s="31">
        <v>12.050800000000001</v>
      </c>
      <c r="C363" s="32" t="s">
        <v>10428</v>
      </c>
      <c r="D363" s="31" t="s">
        <v>10374</v>
      </c>
      <c r="E363" s="40" t="s">
        <v>10429</v>
      </c>
      <c r="F363" s="23" t="s">
        <v>9305</v>
      </c>
      <c r="G363" s="38" t="s">
        <v>9309</v>
      </c>
      <c r="H363" s="38"/>
      <c r="I363" s="35" t="s">
        <v>10413</v>
      </c>
      <c r="J363" s="36" t="s">
        <v>333</v>
      </c>
    </row>
    <row r="364" spans="1:10" x14ac:dyDescent="0.25">
      <c r="A364" s="31" t="s">
        <v>334</v>
      </c>
      <c r="B364" s="31">
        <v>12.0509</v>
      </c>
      <c r="C364" s="32" t="s">
        <v>10430</v>
      </c>
      <c r="D364" s="31" t="s">
        <v>10374</v>
      </c>
      <c r="E364" s="40" t="s">
        <v>10431</v>
      </c>
      <c r="F364" s="23" t="s">
        <v>9305</v>
      </c>
      <c r="G364" s="38" t="s">
        <v>9309</v>
      </c>
      <c r="H364" s="38"/>
      <c r="I364" s="35" t="s">
        <v>10413</v>
      </c>
      <c r="J364" s="36" t="s">
        <v>334</v>
      </c>
    </row>
    <row r="365" spans="1:10" x14ac:dyDescent="0.25">
      <c r="A365" s="31" t="s">
        <v>335</v>
      </c>
      <c r="B365" s="31">
        <v>12.051</v>
      </c>
      <c r="C365" s="32" t="s">
        <v>10432</v>
      </c>
      <c r="D365" s="31" t="s">
        <v>10374</v>
      </c>
      <c r="E365" s="40" t="s">
        <v>10433</v>
      </c>
      <c r="F365" s="23" t="s">
        <v>9305</v>
      </c>
      <c r="G365" s="38" t="s">
        <v>9309</v>
      </c>
      <c r="H365" s="38"/>
      <c r="I365" s="35" t="s">
        <v>10413</v>
      </c>
      <c r="J365" s="36" t="s">
        <v>335</v>
      </c>
    </row>
    <row r="366" spans="1:10" x14ac:dyDescent="0.25">
      <c r="A366" s="31" t="s">
        <v>1793</v>
      </c>
      <c r="B366" s="31">
        <v>12.058</v>
      </c>
      <c r="C366" s="32" t="s">
        <v>10434</v>
      </c>
      <c r="D366" s="31" t="s">
        <v>10374</v>
      </c>
      <c r="E366" s="40" t="s">
        <v>10435</v>
      </c>
      <c r="F366" s="23" t="s">
        <v>9305</v>
      </c>
      <c r="G366" s="38" t="s">
        <v>9309</v>
      </c>
      <c r="H366" s="38"/>
      <c r="I366" s="35" t="s">
        <v>10413</v>
      </c>
      <c r="J366" s="36" t="s">
        <v>1793</v>
      </c>
    </row>
    <row r="367" spans="1:10" x14ac:dyDescent="0.25">
      <c r="A367" s="31" t="s">
        <v>336</v>
      </c>
      <c r="B367" s="31">
        <v>12.059900000000001</v>
      </c>
      <c r="C367" s="32" t="s">
        <v>10436</v>
      </c>
      <c r="D367" s="31" t="s">
        <v>10374</v>
      </c>
      <c r="E367" s="40" t="s">
        <v>10437</v>
      </c>
      <c r="F367" s="23" t="s">
        <v>9305</v>
      </c>
      <c r="G367" s="38" t="s">
        <v>9309</v>
      </c>
      <c r="H367" s="38"/>
      <c r="I367" s="35" t="s">
        <v>10413</v>
      </c>
      <c r="J367" s="36" t="s">
        <v>336</v>
      </c>
    </row>
    <row r="368" spans="1:10" x14ac:dyDescent="0.25">
      <c r="A368" s="31" t="s">
        <v>1856</v>
      </c>
      <c r="B368" s="31">
        <v>12.06</v>
      </c>
      <c r="C368" s="32" t="s">
        <v>10438</v>
      </c>
      <c r="D368" s="31" t="s">
        <v>10374</v>
      </c>
      <c r="E368" s="40" t="s">
        <v>9310</v>
      </c>
      <c r="F368" s="23" t="s">
        <v>9305</v>
      </c>
      <c r="G368" s="38" t="s">
        <v>9310</v>
      </c>
      <c r="H368" s="38" t="s">
        <v>9310</v>
      </c>
      <c r="I368" s="35" t="s">
        <v>10438</v>
      </c>
      <c r="J368" s="36" t="s">
        <v>1856</v>
      </c>
    </row>
    <row r="369" spans="1:10" x14ac:dyDescent="0.25">
      <c r="A369" s="31" t="s">
        <v>1857</v>
      </c>
      <c r="B369" s="31">
        <v>12.0601</v>
      </c>
      <c r="C369" s="32" t="s">
        <v>10439</v>
      </c>
      <c r="D369" s="31" t="s">
        <v>10374</v>
      </c>
      <c r="E369" s="40" t="s">
        <v>10440</v>
      </c>
      <c r="F369" s="23" t="s">
        <v>9305</v>
      </c>
      <c r="G369" s="38" t="s">
        <v>9310</v>
      </c>
      <c r="H369" s="38"/>
      <c r="I369" s="35" t="s">
        <v>10438</v>
      </c>
      <c r="J369" s="36" t="s">
        <v>1857</v>
      </c>
    </row>
    <row r="370" spans="1:10" x14ac:dyDescent="0.25">
      <c r="A370" s="31" t="s">
        <v>1858</v>
      </c>
      <c r="B370" s="31">
        <v>12.0602</v>
      </c>
      <c r="C370" s="32" t="s">
        <v>10441</v>
      </c>
      <c r="D370" s="31" t="s">
        <v>10374</v>
      </c>
      <c r="E370" s="40" t="s">
        <v>10442</v>
      </c>
      <c r="F370" s="23" t="s">
        <v>9305</v>
      </c>
      <c r="G370" s="38" t="s">
        <v>9310</v>
      </c>
      <c r="H370" s="38"/>
      <c r="I370" s="35" t="s">
        <v>10438</v>
      </c>
      <c r="J370" s="36" t="s">
        <v>1858</v>
      </c>
    </row>
    <row r="371" spans="1:10" x14ac:dyDescent="0.25">
      <c r="A371" s="31" t="s">
        <v>1859</v>
      </c>
      <c r="B371" s="31">
        <v>12.069900000000001</v>
      </c>
      <c r="C371" s="32" t="s">
        <v>10443</v>
      </c>
      <c r="D371" s="31" t="s">
        <v>10374</v>
      </c>
      <c r="E371" s="40" t="s">
        <v>10444</v>
      </c>
      <c r="F371" s="23" t="s">
        <v>9305</v>
      </c>
      <c r="G371" s="38" t="s">
        <v>9310</v>
      </c>
      <c r="H371" s="38"/>
      <c r="I371" s="35" t="s">
        <v>10438</v>
      </c>
      <c r="J371" s="36" t="s">
        <v>1859</v>
      </c>
    </row>
    <row r="372" spans="1:10" x14ac:dyDescent="0.25">
      <c r="A372" s="31" t="s">
        <v>1860</v>
      </c>
      <c r="B372" s="31">
        <v>12.99</v>
      </c>
      <c r="C372" s="32" t="s">
        <v>10445</v>
      </c>
      <c r="D372" s="31" t="s">
        <v>10374</v>
      </c>
      <c r="E372" s="40" t="s">
        <v>9311</v>
      </c>
      <c r="F372" s="23" t="s">
        <v>9305</v>
      </c>
      <c r="G372" s="38" t="s">
        <v>9311</v>
      </c>
      <c r="H372" s="38" t="s">
        <v>9311</v>
      </c>
      <c r="I372" s="35" t="s">
        <v>10445</v>
      </c>
      <c r="J372" s="36" t="s">
        <v>1860</v>
      </c>
    </row>
    <row r="373" spans="1:10" x14ac:dyDescent="0.25">
      <c r="A373" s="31" t="s">
        <v>1860</v>
      </c>
      <c r="B373" s="31">
        <v>12.9999</v>
      </c>
      <c r="C373" s="32" t="s">
        <v>10446</v>
      </c>
      <c r="D373" s="31" t="s">
        <v>10374</v>
      </c>
      <c r="E373" s="40" t="s">
        <v>10447</v>
      </c>
      <c r="F373" s="23" t="s">
        <v>9305</v>
      </c>
      <c r="G373" s="38" t="s">
        <v>9311</v>
      </c>
      <c r="H373" s="38"/>
      <c r="I373" s="35" t="s">
        <v>10445</v>
      </c>
      <c r="J373" s="36" t="s">
        <v>1860</v>
      </c>
    </row>
    <row r="374" spans="1:10" x14ac:dyDescent="0.25">
      <c r="A374" s="31" t="s">
        <v>337</v>
      </c>
      <c r="B374" s="31">
        <v>13</v>
      </c>
      <c r="C374" s="32" t="s">
        <v>10448</v>
      </c>
      <c r="D374" s="31" t="s">
        <v>10448</v>
      </c>
      <c r="E374" s="40" t="s">
        <v>9312</v>
      </c>
      <c r="F374" s="38" t="s">
        <v>8912</v>
      </c>
      <c r="G374" s="38" t="s">
        <v>9312</v>
      </c>
      <c r="H374" s="38" t="s">
        <v>9312</v>
      </c>
      <c r="I374" s="35" t="s">
        <v>10448</v>
      </c>
      <c r="J374" s="36" t="s">
        <v>337</v>
      </c>
    </row>
    <row r="375" spans="1:10" x14ac:dyDescent="0.25">
      <c r="A375" s="31" t="s">
        <v>338</v>
      </c>
      <c r="B375" s="31">
        <v>13.01</v>
      </c>
      <c r="C375" s="32" t="s">
        <v>10449</v>
      </c>
      <c r="D375" s="31" t="s">
        <v>10448</v>
      </c>
      <c r="E375" s="40" t="s">
        <v>9313</v>
      </c>
      <c r="F375" s="38" t="s">
        <v>8912</v>
      </c>
      <c r="G375" s="38" t="s">
        <v>9313</v>
      </c>
      <c r="H375" s="38" t="s">
        <v>9313</v>
      </c>
      <c r="I375" s="35" t="s">
        <v>10449</v>
      </c>
      <c r="J375" s="36" t="s">
        <v>338</v>
      </c>
    </row>
    <row r="376" spans="1:10" x14ac:dyDescent="0.25">
      <c r="A376" s="31" t="s">
        <v>338</v>
      </c>
      <c r="B376" s="31">
        <v>13.0101</v>
      </c>
      <c r="C376" s="32" t="s">
        <v>10450</v>
      </c>
      <c r="D376" s="31" t="s">
        <v>10448</v>
      </c>
      <c r="E376" s="40" t="s">
        <v>10451</v>
      </c>
      <c r="F376" s="38" t="s">
        <v>8912</v>
      </c>
      <c r="G376" s="38" t="s">
        <v>9313</v>
      </c>
      <c r="H376" s="38"/>
      <c r="I376" s="35" t="s">
        <v>10449</v>
      </c>
      <c r="J376" s="36" t="s">
        <v>338</v>
      </c>
    </row>
    <row r="377" spans="1:10" x14ac:dyDescent="0.25">
      <c r="A377" s="31" t="s">
        <v>339</v>
      </c>
      <c r="B377" s="31">
        <v>13.02</v>
      </c>
      <c r="C377" s="32" t="s">
        <v>10452</v>
      </c>
      <c r="D377" s="31" t="s">
        <v>10448</v>
      </c>
      <c r="E377" s="40" t="s">
        <v>9314</v>
      </c>
      <c r="F377" s="38" t="s">
        <v>8912</v>
      </c>
      <c r="G377" s="38" t="s">
        <v>9314</v>
      </c>
      <c r="H377" s="38" t="s">
        <v>9314</v>
      </c>
      <c r="I377" s="35" t="s">
        <v>10452</v>
      </c>
      <c r="J377" s="36" t="s">
        <v>339</v>
      </c>
    </row>
    <row r="378" spans="1:10" x14ac:dyDescent="0.25">
      <c r="A378" s="31" t="s">
        <v>340</v>
      </c>
      <c r="B378" s="31">
        <v>13.020099999999999</v>
      </c>
      <c r="C378" s="32" t="s">
        <v>10453</v>
      </c>
      <c r="D378" s="31" t="s">
        <v>10448</v>
      </c>
      <c r="E378" s="40" t="s">
        <v>10454</v>
      </c>
      <c r="F378" s="38" t="s">
        <v>8912</v>
      </c>
      <c r="G378" s="38" t="s">
        <v>9314</v>
      </c>
      <c r="H378" s="38"/>
      <c r="I378" s="35" t="s">
        <v>10452</v>
      </c>
      <c r="J378" s="36" t="s">
        <v>340</v>
      </c>
    </row>
    <row r="379" spans="1:10" x14ac:dyDescent="0.25">
      <c r="A379" s="31" t="s">
        <v>341</v>
      </c>
      <c r="B379" s="31">
        <v>13.020200000000001</v>
      </c>
      <c r="C379" s="32" t="s">
        <v>10455</v>
      </c>
      <c r="D379" s="31" t="s">
        <v>10448</v>
      </c>
      <c r="E379" s="40" t="s">
        <v>10456</v>
      </c>
      <c r="F379" s="38" t="s">
        <v>8912</v>
      </c>
      <c r="G379" s="38" t="s">
        <v>9314</v>
      </c>
      <c r="H379" s="38"/>
      <c r="I379" s="35" t="s">
        <v>10452</v>
      </c>
      <c r="J379" s="36" t="s">
        <v>341</v>
      </c>
    </row>
    <row r="380" spans="1:10" x14ac:dyDescent="0.25">
      <c r="A380" s="31" t="s">
        <v>342</v>
      </c>
      <c r="B380" s="31">
        <v>13.020300000000001</v>
      </c>
      <c r="C380" s="32" t="s">
        <v>10457</v>
      </c>
      <c r="D380" s="31" t="s">
        <v>10448</v>
      </c>
      <c r="E380" s="40" t="s">
        <v>10458</v>
      </c>
      <c r="F380" s="38" t="s">
        <v>8912</v>
      </c>
      <c r="G380" s="38" t="s">
        <v>9314</v>
      </c>
      <c r="H380" s="38"/>
      <c r="I380" s="35" t="s">
        <v>10452</v>
      </c>
      <c r="J380" s="36" t="s">
        <v>342</v>
      </c>
    </row>
    <row r="381" spans="1:10" x14ac:dyDescent="0.25">
      <c r="A381" s="31" t="s">
        <v>343</v>
      </c>
      <c r="B381" s="31">
        <v>13.0299</v>
      </c>
      <c r="C381" s="32" t="s">
        <v>10459</v>
      </c>
      <c r="D381" s="31" t="s">
        <v>10448</v>
      </c>
      <c r="E381" s="40" t="s">
        <v>10460</v>
      </c>
      <c r="F381" s="38" t="s">
        <v>8912</v>
      </c>
      <c r="G381" s="38" t="s">
        <v>9314</v>
      </c>
      <c r="H381" s="38"/>
      <c r="I381" s="35" t="s">
        <v>10452</v>
      </c>
      <c r="J381" s="36" t="s">
        <v>343</v>
      </c>
    </row>
    <row r="382" spans="1:10" x14ac:dyDescent="0.25">
      <c r="A382" s="31" t="s">
        <v>344</v>
      </c>
      <c r="B382" s="31">
        <v>13.03</v>
      </c>
      <c r="C382" s="32" t="s">
        <v>10461</v>
      </c>
      <c r="D382" s="31" t="s">
        <v>10448</v>
      </c>
      <c r="E382" s="40" t="s">
        <v>9315</v>
      </c>
      <c r="F382" s="38" t="s">
        <v>8912</v>
      </c>
      <c r="G382" s="38" t="s">
        <v>9315</v>
      </c>
      <c r="H382" s="38" t="s">
        <v>9315</v>
      </c>
      <c r="I382" s="35" t="s">
        <v>10461</v>
      </c>
      <c r="J382" s="36" t="s">
        <v>344</v>
      </c>
    </row>
    <row r="383" spans="1:10" x14ac:dyDescent="0.25">
      <c r="A383" s="31" t="s">
        <v>344</v>
      </c>
      <c r="B383" s="31">
        <v>13.030099999999999</v>
      </c>
      <c r="C383" s="32" t="s">
        <v>10462</v>
      </c>
      <c r="D383" s="31" t="s">
        <v>10448</v>
      </c>
      <c r="E383" s="40" t="s">
        <v>10463</v>
      </c>
      <c r="F383" s="38" t="s">
        <v>8912</v>
      </c>
      <c r="G383" s="38" t="s">
        <v>9315</v>
      </c>
      <c r="H383" s="38"/>
      <c r="I383" s="35" t="s">
        <v>10461</v>
      </c>
      <c r="J383" s="36" t="s">
        <v>344</v>
      </c>
    </row>
    <row r="384" spans="1:10" x14ac:dyDescent="0.25">
      <c r="A384" s="31" t="s">
        <v>345</v>
      </c>
      <c r="B384" s="31">
        <v>13.04</v>
      </c>
      <c r="C384" s="32" t="s">
        <v>10464</v>
      </c>
      <c r="D384" s="31" t="s">
        <v>10448</v>
      </c>
      <c r="E384" s="40" t="s">
        <v>9316</v>
      </c>
      <c r="F384" s="38" t="s">
        <v>8912</v>
      </c>
      <c r="G384" s="38" t="s">
        <v>9316</v>
      </c>
      <c r="H384" s="38" t="s">
        <v>9316</v>
      </c>
      <c r="I384" s="35" t="s">
        <v>10464</v>
      </c>
      <c r="J384" s="36" t="s">
        <v>345</v>
      </c>
    </row>
    <row r="385" spans="1:10" x14ac:dyDescent="0.25">
      <c r="A385" s="31" t="s">
        <v>346</v>
      </c>
      <c r="B385" s="31">
        <v>13.040100000000001</v>
      </c>
      <c r="C385" s="32" t="s">
        <v>10465</v>
      </c>
      <c r="D385" s="31" t="s">
        <v>10448</v>
      </c>
      <c r="E385" s="40" t="s">
        <v>10466</v>
      </c>
      <c r="F385" s="38" t="s">
        <v>8912</v>
      </c>
      <c r="G385" s="38" t="s">
        <v>9316</v>
      </c>
      <c r="H385" s="38"/>
      <c r="I385" s="35" t="s">
        <v>10464</v>
      </c>
      <c r="J385" s="36" t="s">
        <v>346</v>
      </c>
    </row>
    <row r="386" spans="1:10" x14ac:dyDescent="0.25">
      <c r="A386" s="31" t="s">
        <v>347</v>
      </c>
      <c r="B386" s="31">
        <v>13.0402</v>
      </c>
      <c r="C386" s="32" t="s">
        <v>10467</v>
      </c>
      <c r="D386" s="31" t="s">
        <v>10448</v>
      </c>
      <c r="E386" s="40" t="s">
        <v>10468</v>
      </c>
      <c r="F386" s="38" t="s">
        <v>8912</v>
      </c>
      <c r="G386" s="38" t="s">
        <v>9316</v>
      </c>
      <c r="H386" s="38"/>
      <c r="I386" s="35" t="s">
        <v>10464</v>
      </c>
      <c r="J386" s="36" t="s">
        <v>347</v>
      </c>
    </row>
    <row r="387" spans="1:10" x14ac:dyDescent="0.25">
      <c r="A387" s="31" t="s">
        <v>348</v>
      </c>
      <c r="B387" s="31">
        <v>13.0403</v>
      </c>
      <c r="C387" s="32" t="s">
        <v>10469</v>
      </c>
      <c r="D387" s="31" t="s">
        <v>10448</v>
      </c>
      <c r="E387" s="40" t="s">
        <v>10470</v>
      </c>
      <c r="F387" s="38" t="s">
        <v>8912</v>
      </c>
      <c r="G387" s="38" t="s">
        <v>9316</v>
      </c>
      <c r="H387" s="38"/>
      <c r="I387" s="35" t="s">
        <v>10464</v>
      </c>
      <c r="J387" s="36" t="s">
        <v>348</v>
      </c>
    </row>
    <row r="388" spans="1:10" x14ac:dyDescent="0.25">
      <c r="A388" s="31" t="s">
        <v>349</v>
      </c>
      <c r="B388" s="31">
        <v>13.0404</v>
      </c>
      <c r="C388" s="32" t="s">
        <v>10471</v>
      </c>
      <c r="D388" s="31" t="s">
        <v>10448</v>
      </c>
      <c r="E388" s="40" t="s">
        <v>10472</v>
      </c>
      <c r="F388" s="38" t="s">
        <v>8912</v>
      </c>
      <c r="G388" s="38" t="s">
        <v>9316</v>
      </c>
      <c r="H388" s="38"/>
      <c r="I388" s="35" t="s">
        <v>10464</v>
      </c>
      <c r="J388" s="36" t="s">
        <v>349</v>
      </c>
    </row>
    <row r="389" spans="1:10" x14ac:dyDescent="0.25">
      <c r="A389" s="31" t="s">
        <v>350</v>
      </c>
      <c r="B389" s="31">
        <v>13.0406</v>
      </c>
      <c r="C389" s="32" t="s">
        <v>10473</v>
      </c>
      <c r="D389" s="31" t="s">
        <v>10448</v>
      </c>
      <c r="E389" s="40" t="s">
        <v>10474</v>
      </c>
      <c r="F389" s="38" t="s">
        <v>8912</v>
      </c>
      <c r="G389" s="38" t="s">
        <v>9316</v>
      </c>
      <c r="H389" s="38"/>
      <c r="I389" s="35" t="s">
        <v>10464</v>
      </c>
      <c r="J389" s="36" t="s">
        <v>350</v>
      </c>
    </row>
    <row r="390" spans="1:10" x14ac:dyDescent="0.25">
      <c r="A390" s="31" t="s">
        <v>1861</v>
      </c>
      <c r="B390" s="31">
        <v>13.040699999999999</v>
      </c>
      <c r="C390" s="32" t="s">
        <v>10475</v>
      </c>
      <c r="D390" s="31" t="s">
        <v>10448</v>
      </c>
      <c r="E390" s="40" t="s">
        <v>10476</v>
      </c>
      <c r="F390" s="38" t="s">
        <v>8912</v>
      </c>
      <c r="G390" s="38" t="s">
        <v>9316</v>
      </c>
      <c r="H390" s="38"/>
      <c r="I390" s="35" t="s">
        <v>10464</v>
      </c>
      <c r="J390" s="36" t="s">
        <v>1861</v>
      </c>
    </row>
    <row r="391" spans="1:10" x14ac:dyDescent="0.25">
      <c r="A391" s="31" t="s">
        <v>351</v>
      </c>
      <c r="B391" s="31">
        <v>13.040800000000001</v>
      </c>
      <c r="C391" s="32" t="s">
        <v>10477</v>
      </c>
      <c r="D391" s="31" t="s">
        <v>10448</v>
      </c>
      <c r="E391" s="40" t="s">
        <v>10478</v>
      </c>
      <c r="F391" s="38" t="s">
        <v>8912</v>
      </c>
      <c r="G391" s="38" t="s">
        <v>9316</v>
      </c>
      <c r="H391" s="38"/>
      <c r="I391" s="35" t="s">
        <v>10464</v>
      </c>
      <c r="J391" s="36" t="s">
        <v>351</v>
      </c>
    </row>
    <row r="392" spans="1:10" x14ac:dyDescent="0.25">
      <c r="A392" s="31" t="s">
        <v>352</v>
      </c>
      <c r="B392" s="31">
        <v>13.040900000000001</v>
      </c>
      <c r="C392" s="32" t="s">
        <v>10479</v>
      </c>
      <c r="D392" s="31" t="s">
        <v>10448</v>
      </c>
      <c r="E392" s="40" t="s">
        <v>10480</v>
      </c>
      <c r="F392" s="38" t="s">
        <v>8912</v>
      </c>
      <c r="G392" s="38" t="s">
        <v>9316</v>
      </c>
      <c r="H392" s="38"/>
      <c r="I392" s="35" t="s">
        <v>10464</v>
      </c>
      <c r="J392" s="36" t="s">
        <v>352</v>
      </c>
    </row>
    <row r="393" spans="1:10" x14ac:dyDescent="0.25">
      <c r="A393" s="31" t="s">
        <v>353</v>
      </c>
      <c r="B393" s="31">
        <v>13.041</v>
      </c>
      <c r="C393" s="32" t="s">
        <v>10481</v>
      </c>
      <c r="D393" s="31" t="s">
        <v>10448</v>
      </c>
      <c r="E393" s="40" t="s">
        <v>10482</v>
      </c>
      <c r="F393" s="38" t="s">
        <v>8912</v>
      </c>
      <c r="G393" s="38" t="s">
        <v>9316</v>
      </c>
      <c r="H393" s="38"/>
      <c r="I393" s="35" t="s">
        <v>10464</v>
      </c>
      <c r="J393" s="36" t="s">
        <v>353</v>
      </c>
    </row>
    <row r="394" spans="1:10" x14ac:dyDescent="0.25">
      <c r="A394" s="31" t="s">
        <v>354</v>
      </c>
      <c r="B394" s="31">
        <v>13.0411</v>
      </c>
      <c r="C394" s="32" t="s">
        <v>10483</v>
      </c>
      <c r="D394" s="31" t="s">
        <v>10448</v>
      </c>
      <c r="E394" s="40" t="s">
        <v>10484</v>
      </c>
      <c r="F394" s="38" t="s">
        <v>8912</v>
      </c>
      <c r="G394" s="38" t="s">
        <v>9316</v>
      </c>
      <c r="H394" s="38"/>
      <c r="I394" s="35" t="s">
        <v>10464</v>
      </c>
      <c r="J394" s="36" t="s">
        <v>354</v>
      </c>
    </row>
    <row r="395" spans="1:10" x14ac:dyDescent="0.25">
      <c r="A395" s="31" t="s">
        <v>1862</v>
      </c>
      <c r="B395" s="31">
        <v>13.0412</v>
      </c>
      <c r="C395" s="32" t="s">
        <v>10485</v>
      </c>
      <c r="D395" s="31" t="s">
        <v>10448</v>
      </c>
      <c r="E395" s="40" t="s">
        <v>10486</v>
      </c>
      <c r="F395" s="38" t="s">
        <v>8912</v>
      </c>
      <c r="G395" s="38" t="s">
        <v>9316</v>
      </c>
      <c r="H395" s="38"/>
      <c r="I395" s="35" t="s">
        <v>10464</v>
      </c>
      <c r="J395" s="36" t="s">
        <v>1862</v>
      </c>
    </row>
    <row r="396" spans="1:10" x14ac:dyDescent="0.25">
      <c r="A396" s="31" t="s">
        <v>1863</v>
      </c>
      <c r="B396" s="31">
        <v>13.0413</v>
      </c>
      <c r="C396" s="32" t="s">
        <v>10487</v>
      </c>
      <c r="D396" s="31" t="s">
        <v>10448</v>
      </c>
      <c r="E396" s="40" t="s">
        <v>10488</v>
      </c>
      <c r="F396" s="38" t="s">
        <v>8912</v>
      </c>
      <c r="G396" s="38" t="s">
        <v>9316</v>
      </c>
      <c r="H396" s="38"/>
      <c r="I396" s="35" t="s">
        <v>10464</v>
      </c>
      <c r="J396" s="36" t="s">
        <v>1863</v>
      </c>
    </row>
    <row r="397" spans="1:10" x14ac:dyDescent="0.25">
      <c r="A397" s="31" t="s">
        <v>1864</v>
      </c>
      <c r="B397" s="31">
        <v>13.041399999999999</v>
      </c>
      <c r="C397" s="32" t="s">
        <v>10489</v>
      </c>
      <c r="D397" s="31" t="s">
        <v>10448</v>
      </c>
      <c r="E397" s="40" t="s">
        <v>10490</v>
      </c>
      <c r="F397" s="38" t="s">
        <v>8912</v>
      </c>
      <c r="G397" s="38" t="s">
        <v>9316</v>
      </c>
      <c r="H397" s="38"/>
      <c r="I397" s="35" t="s">
        <v>10464</v>
      </c>
      <c r="J397" s="36" t="s">
        <v>1864</v>
      </c>
    </row>
    <row r="398" spans="1:10" x14ac:dyDescent="0.25">
      <c r="A398" s="31" t="s">
        <v>355</v>
      </c>
      <c r="B398" s="31">
        <v>13.049899999999999</v>
      </c>
      <c r="C398" s="32" t="s">
        <v>10491</v>
      </c>
      <c r="D398" s="31" t="s">
        <v>10448</v>
      </c>
      <c r="E398" s="40" t="s">
        <v>10492</v>
      </c>
      <c r="F398" s="38" t="s">
        <v>8912</v>
      </c>
      <c r="G398" s="38" t="s">
        <v>9316</v>
      </c>
      <c r="H398" s="38"/>
      <c r="I398" s="35" t="s">
        <v>10464</v>
      </c>
      <c r="J398" s="36" t="s">
        <v>355</v>
      </c>
    </row>
    <row r="399" spans="1:10" x14ac:dyDescent="0.25">
      <c r="A399" s="31" t="s">
        <v>356</v>
      </c>
      <c r="B399" s="31">
        <v>13.05</v>
      </c>
      <c r="C399" s="32" t="s">
        <v>10493</v>
      </c>
      <c r="D399" s="31" t="s">
        <v>10448</v>
      </c>
      <c r="E399" s="40" t="s">
        <v>9317</v>
      </c>
      <c r="F399" s="38" t="s">
        <v>8912</v>
      </c>
      <c r="G399" s="38" t="s">
        <v>9317</v>
      </c>
      <c r="H399" s="38" t="s">
        <v>9317</v>
      </c>
      <c r="I399" s="35" t="s">
        <v>10493</v>
      </c>
      <c r="J399" s="36" t="s">
        <v>356</v>
      </c>
    </row>
    <row r="400" spans="1:10" x14ac:dyDescent="0.25">
      <c r="A400" s="31" t="s">
        <v>1865</v>
      </c>
      <c r="B400" s="31">
        <v>13.0501</v>
      </c>
      <c r="C400" s="32" t="s">
        <v>10494</v>
      </c>
      <c r="D400" s="31" t="s">
        <v>10448</v>
      </c>
      <c r="E400" s="40" t="s">
        <v>10495</v>
      </c>
      <c r="F400" s="38" t="s">
        <v>8912</v>
      </c>
      <c r="G400" s="38" t="s">
        <v>9317</v>
      </c>
      <c r="H400" s="38"/>
      <c r="I400" s="35" t="s">
        <v>10493</v>
      </c>
      <c r="J400" s="36" t="s">
        <v>1865</v>
      </c>
    </row>
    <row r="401" spans="1:10" x14ac:dyDescent="0.25">
      <c r="A401" s="31" t="s">
        <v>357</v>
      </c>
      <c r="B401" s="31">
        <v>13.06</v>
      </c>
      <c r="C401" s="32" t="s">
        <v>10496</v>
      </c>
      <c r="D401" s="31" t="s">
        <v>10448</v>
      </c>
      <c r="E401" s="40" t="s">
        <v>9318</v>
      </c>
      <c r="F401" s="38" t="s">
        <v>8912</v>
      </c>
      <c r="G401" s="39" t="s">
        <v>9318</v>
      </c>
      <c r="H401" s="39" t="s">
        <v>9318</v>
      </c>
      <c r="I401" s="35" t="s">
        <v>10496</v>
      </c>
      <c r="J401" s="36" t="s">
        <v>357</v>
      </c>
    </row>
    <row r="402" spans="1:10" x14ac:dyDescent="0.25">
      <c r="A402" s="31" t="s">
        <v>358</v>
      </c>
      <c r="B402" s="31">
        <v>13.0601</v>
      </c>
      <c r="C402" s="32" t="s">
        <v>10497</v>
      </c>
      <c r="D402" s="31" t="s">
        <v>10448</v>
      </c>
      <c r="E402" s="40" t="s">
        <v>10498</v>
      </c>
      <c r="F402" s="38" t="s">
        <v>8912</v>
      </c>
      <c r="G402" s="39" t="s">
        <v>9318</v>
      </c>
      <c r="H402" s="38"/>
      <c r="I402" s="35" t="s">
        <v>10496</v>
      </c>
      <c r="J402" s="36" t="s">
        <v>358</v>
      </c>
    </row>
    <row r="403" spans="1:10" x14ac:dyDescent="0.25">
      <c r="A403" s="31" t="s">
        <v>359</v>
      </c>
      <c r="B403" s="31">
        <v>13.0603</v>
      </c>
      <c r="C403" s="32" t="s">
        <v>10499</v>
      </c>
      <c r="D403" s="31" t="s">
        <v>10448</v>
      </c>
      <c r="E403" s="40" t="s">
        <v>10500</v>
      </c>
      <c r="F403" s="38" t="s">
        <v>8912</v>
      </c>
      <c r="G403" s="39" t="s">
        <v>9318</v>
      </c>
      <c r="H403" s="38"/>
      <c r="I403" s="35" t="s">
        <v>10496</v>
      </c>
      <c r="J403" s="36" t="s">
        <v>359</v>
      </c>
    </row>
    <row r="404" spans="1:10" x14ac:dyDescent="0.25">
      <c r="A404" s="31" t="s">
        <v>360</v>
      </c>
      <c r="B404" s="31">
        <v>13.0604</v>
      </c>
      <c r="C404" s="32" t="s">
        <v>10501</v>
      </c>
      <c r="D404" s="31" t="s">
        <v>10448</v>
      </c>
      <c r="E404" s="40" t="s">
        <v>10502</v>
      </c>
      <c r="F404" s="38" t="s">
        <v>8912</v>
      </c>
      <c r="G404" s="39" t="s">
        <v>9318</v>
      </c>
      <c r="H404" s="38"/>
      <c r="I404" s="35" t="s">
        <v>10496</v>
      </c>
      <c r="J404" s="36" t="s">
        <v>360</v>
      </c>
    </row>
    <row r="405" spans="1:10" x14ac:dyDescent="0.25">
      <c r="A405" s="31" t="s">
        <v>361</v>
      </c>
      <c r="B405" s="31">
        <v>13.060700000000001</v>
      </c>
      <c r="C405" s="32" t="s">
        <v>10503</v>
      </c>
      <c r="D405" s="31" t="s">
        <v>10448</v>
      </c>
      <c r="E405" s="40" t="s">
        <v>10504</v>
      </c>
      <c r="F405" s="38" t="s">
        <v>8912</v>
      </c>
      <c r="G405" s="39" t="s">
        <v>9318</v>
      </c>
      <c r="H405" s="38"/>
      <c r="I405" s="35" t="s">
        <v>10496</v>
      </c>
      <c r="J405" s="36" t="s">
        <v>361</v>
      </c>
    </row>
    <row r="406" spans="1:10" x14ac:dyDescent="0.25">
      <c r="A406" s="31" t="s">
        <v>1866</v>
      </c>
      <c r="B406" s="31">
        <v>13.0608</v>
      </c>
      <c r="C406" s="32" t="s">
        <v>10505</v>
      </c>
      <c r="D406" s="31" t="s">
        <v>10448</v>
      </c>
      <c r="E406" s="40" t="s">
        <v>10506</v>
      </c>
      <c r="F406" s="38" t="s">
        <v>8912</v>
      </c>
      <c r="G406" s="39" t="s">
        <v>9318</v>
      </c>
      <c r="H406" s="38"/>
      <c r="I406" s="35" t="s">
        <v>10496</v>
      </c>
      <c r="J406" s="36" t="s">
        <v>1866</v>
      </c>
    </row>
    <row r="407" spans="1:10" x14ac:dyDescent="0.25">
      <c r="A407" s="31" t="s">
        <v>362</v>
      </c>
      <c r="B407" s="31">
        <v>13.069900000000001</v>
      </c>
      <c r="C407" s="32" t="s">
        <v>10507</v>
      </c>
      <c r="D407" s="31" t="s">
        <v>10448</v>
      </c>
      <c r="E407" s="40" t="s">
        <v>10508</v>
      </c>
      <c r="F407" s="38" t="s">
        <v>8912</v>
      </c>
      <c r="G407" s="39" t="s">
        <v>9318</v>
      </c>
      <c r="H407" s="38"/>
      <c r="I407" s="35" t="s">
        <v>10496</v>
      </c>
      <c r="J407" s="36" t="s">
        <v>362</v>
      </c>
    </row>
    <row r="408" spans="1:10" x14ac:dyDescent="0.25">
      <c r="A408" s="31" t="s">
        <v>363</v>
      </c>
      <c r="B408" s="31">
        <v>13.07</v>
      </c>
      <c r="C408" s="32" t="s">
        <v>10509</v>
      </c>
      <c r="D408" s="31" t="s">
        <v>10448</v>
      </c>
      <c r="E408" s="40" t="s">
        <v>9319</v>
      </c>
      <c r="F408" s="38" t="s">
        <v>8912</v>
      </c>
      <c r="G408" s="38" t="s">
        <v>9319</v>
      </c>
      <c r="H408" s="38" t="s">
        <v>9319</v>
      </c>
      <c r="I408" s="35" t="s">
        <v>10509</v>
      </c>
      <c r="J408" s="36" t="s">
        <v>363</v>
      </c>
    </row>
    <row r="409" spans="1:10" x14ac:dyDescent="0.25">
      <c r="A409" s="31" t="s">
        <v>363</v>
      </c>
      <c r="B409" s="31">
        <v>13.0701</v>
      </c>
      <c r="C409" s="32" t="s">
        <v>10510</v>
      </c>
      <c r="D409" s="31" t="s">
        <v>10448</v>
      </c>
      <c r="E409" s="40" t="s">
        <v>10511</v>
      </c>
      <c r="F409" s="38" t="s">
        <v>8912</v>
      </c>
      <c r="G409" s="38" t="s">
        <v>9319</v>
      </c>
      <c r="H409" s="38"/>
      <c r="I409" s="35" t="s">
        <v>10509</v>
      </c>
      <c r="J409" s="36" t="s">
        <v>363</v>
      </c>
    </row>
    <row r="410" spans="1:10" x14ac:dyDescent="0.25">
      <c r="A410" s="31" t="s">
        <v>364</v>
      </c>
      <c r="B410" s="31">
        <v>13.09</v>
      </c>
      <c r="C410" s="32" t="s">
        <v>10512</v>
      </c>
      <c r="D410" s="31" t="s">
        <v>10448</v>
      </c>
      <c r="E410" s="40" t="s">
        <v>9320</v>
      </c>
      <c r="F410" s="38" t="s">
        <v>8912</v>
      </c>
      <c r="G410" s="38" t="s">
        <v>9320</v>
      </c>
      <c r="H410" s="38" t="s">
        <v>9320</v>
      </c>
      <c r="I410" s="35" t="s">
        <v>10512</v>
      </c>
      <c r="J410" s="36" t="s">
        <v>364</v>
      </c>
    </row>
    <row r="411" spans="1:10" x14ac:dyDescent="0.25">
      <c r="A411" s="31" t="s">
        <v>364</v>
      </c>
      <c r="B411" s="31">
        <v>13.0901</v>
      </c>
      <c r="C411" s="32" t="s">
        <v>10513</v>
      </c>
      <c r="D411" s="31" t="s">
        <v>10448</v>
      </c>
      <c r="E411" s="40" t="s">
        <v>10514</v>
      </c>
      <c r="F411" s="38" t="s">
        <v>8912</v>
      </c>
      <c r="G411" s="38" t="s">
        <v>9320</v>
      </c>
      <c r="H411" s="38"/>
      <c r="I411" s="35" t="s">
        <v>10512</v>
      </c>
      <c r="J411" s="36" t="s">
        <v>364</v>
      </c>
    </row>
    <row r="412" spans="1:10" x14ac:dyDescent="0.25">
      <c r="A412" s="31" t="s">
        <v>365</v>
      </c>
      <c r="B412" s="31">
        <v>13.1</v>
      </c>
      <c r="C412" s="32" t="s">
        <v>10515</v>
      </c>
      <c r="D412" s="31" t="s">
        <v>10448</v>
      </c>
      <c r="E412" s="40" t="s">
        <v>9321</v>
      </c>
      <c r="F412" s="38" t="s">
        <v>8912</v>
      </c>
      <c r="G412" s="38" t="s">
        <v>9321</v>
      </c>
      <c r="H412" s="38" t="s">
        <v>9321</v>
      </c>
      <c r="I412" s="35" t="s">
        <v>10515</v>
      </c>
      <c r="J412" s="36" t="s">
        <v>365</v>
      </c>
    </row>
    <row r="413" spans="1:10" x14ac:dyDescent="0.25">
      <c r="A413" s="31" t="s">
        <v>366</v>
      </c>
      <c r="B413" s="31">
        <v>13.100099999999999</v>
      </c>
      <c r="C413" s="32" t="s">
        <v>10516</v>
      </c>
      <c r="D413" s="31" t="s">
        <v>10448</v>
      </c>
      <c r="E413" s="40" t="s">
        <v>10517</v>
      </c>
      <c r="F413" s="38" t="s">
        <v>8912</v>
      </c>
      <c r="G413" s="38" t="s">
        <v>9321</v>
      </c>
      <c r="H413" s="38"/>
      <c r="I413" s="35" t="s">
        <v>10515</v>
      </c>
      <c r="J413" s="36" t="s">
        <v>366</v>
      </c>
    </row>
    <row r="414" spans="1:10" x14ac:dyDescent="0.25">
      <c r="A414" s="31" t="s">
        <v>367</v>
      </c>
      <c r="B414" s="31">
        <v>13.100300000000001</v>
      </c>
      <c r="C414" s="32" t="s">
        <v>10518</v>
      </c>
      <c r="D414" s="31" t="s">
        <v>10448</v>
      </c>
      <c r="E414" s="40" t="s">
        <v>10519</v>
      </c>
      <c r="F414" s="38" t="s">
        <v>8912</v>
      </c>
      <c r="G414" s="38" t="s">
        <v>9321</v>
      </c>
      <c r="H414" s="38"/>
      <c r="I414" s="35" t="s">
        <v>10515</v>
      </c>
      <c r="J414" s="36" t="s">
        <v>367</v>
      </c>
    </row>
    <row r="415" spans="1:10" x14ac:dyDescent="0.25">
      <c r="A415" s="31" t="s">
        <v>368</v>
      </c>
      <c r="B415" s="31">
        <v>13.1004</v>
      </c>
      <c r="C415" s="32" t="s">
        <v>10520</v>
      </c>
      <c r="D415" s="31" t="s">
        <v>10448</v>
      </c>
      <c r="E415" s="40" t="s">
        <v>10521</v>
      </c>
      <c r="F415" s="38" t="s">
        <v>8912</v>
      </c>
      <c r="G415" s="38" t="s">
        <v>9321</v>
      </c>
      <c r="H415" s="38"/>
      <c r="I415" s="35" t="s">
        <v>10515</v>
      </c>
      <c r="J415" s="36" t="s">
        <v>368</v>
      </c>
    </row>
    <row r="416" spans="1:10" x14ac:dyDescent="0.25">
      <c r="A416" s="31" t="s">
        <v>369</v>
      </c>
      <c r="B416" s="31">
        <v>13.1005</v>
      </c>
      <c r="C416" s="32" t="s">
        <v>10522</v>
      </c>
      <c r="D416" s="31" t="s">
        <v>10448</v>
      </c>
      <c r="E416" s="40" t="s">
        <v>10523</v>
      </c>
      <c r="F416" s="38" t="s">
        <v>8912</v>
      </c>
      <c r="G416" s="38" t="s">
        <v>9321</v>
      </c>
      <c r="H416" s="38"/>
      <c r="I416" s="35" t="s">
        <v>10515</v>
      </c>
      <c r="J416" s="36" t="s">
        <v>369</v>
      </c>
    </row>
    <row r="417" spans="1:10" x14ac:dyDescent="0.25">
      <c r="A417" s="31" t="s">
        <v>1867</v>
      </c>
      <c r="B417" s="31">
        <v>13.1006</v>
      </c>
      <c r="C417" s="32" t="s">
        <v>10524</v>
      </c>
      <c r="D417" s="31" t="s">
        <v>10448</v>
      </c>
      <c r="E417" s="40" t="s">
        <v>10525</v>
      </c>
      <c r="F417" s="38" t="s">
        <v>8912</v>
      </c>
      <c r="G417" s="38" t="s">
        <v>9321</v>
      </c>
      <c r="H417" s="38"/>
      <c r="I417" s="35" t="s">
        <v>10515</v>
      </c>
      <c r="J417" s="36" t="s">
        <v>1867</v>
      </c>
    </row>
    <row r="418" spans="1:10" x14ac:dyDescent="0.25">
      <c r="A418" s="31" t="s">
        <v>370</v>
      </c>
      <c r="B418" s="31">
        <v>13.1007</v>
      </c>
      <c r="C418" s="32" t="s">
        <v>10526</v>
      </c>
      <c r="D418" s="31" t="s">
        <v>10448</v>
      </c>
      <c r="E418" s="40" t="s">
        <v>10527</v>
      </c>
      <c r="F418" s="38" t="s">
        <v>8912</v>
      </c>
      <c r="G418" s="38" t="s">
        <v>9321</v>
      </c>
      <c r="H418" s="38"/>
      <c r="I418" s="35" t="s">
        <v>10515</v>
      </c>
      <c r="J418" s="36" t="s">
        <v>370</v>
      </c>
    </row>
    <row r="419" spans="1:10" x14ac:dyDescent="0.25">
      <c r="A419" s="31" t="s">
        <v>371</v>
      </c>
      <c r="B419" s="31">
        <v>13.1008</v>
      </c>
      <c r="C419" s="32" t="s">
        <v>10528</v>
      </c>
      <c r="D419" s="31" t="s">
        <v>10448</v>
      </c>
      <c r="E419" s="40" t="s">
        <v>10529</v>
      </c>
      <c r="F419" s="38" t="s">
        <v>8912</v>
      </c>
      <c r="G419" s="38" t="s">
        <v>9321</v>
      </c>
      <c r="H419" s="38"/>
      <c r="I419" s="35" t="s">
        <v>10515</v>
      </c>
      <c r="J419" s="36" t="s">
        <v>371</v>
      </c>
    </row>
    <row r="420" spans="1:10" x14ac:dyDescent="0.25">
      <c r="A420" s="31" t="s">
        <v>372</v>
      </c>
      <c r="B420" s="31">
        <v>13.100899999999999</v>
      </c>
      <c r="C420" s="32" t="s">
        <v>10530</v>
      </c>
      <c r="D420" s="31" t="s">
        <v>10448</v>
      </c>
      <c r="E420" s="40" t="s">
        <v>10531</v>
      </c>
      <c r="F420" s="38" t="s">
        <v>8912</v>
      </c>
      <c r="G420" s="38" t="s">
        <v>9321</v>
      </c>
      <c r="H420" s="38"/>
      <c r="I420" s="35" t="s">
        <v>10515</v>
      </c>
      <c r="J420" s="36" t="s">
        <v>372</v>
      </c>
    </row>
    <row r="421" spans="1:10" x14ac:dyDescent="0.25">
      <c r="A421" s="31" t="s">
        <v>373</v>
      </c>
      <c r="B421" s="31">
        <v>13.101100000000001</v>
      </c>
      <c r="C421" s="32" t="s">
        <v>10532</v>
      </c>
      <c r="D421" s="31" t="s">
        <v>10448</v>
      </c>
      <c r="E421" s="40" t="s">
        <v>10533</v>
      </c>
      <c r="F421" s="38" t="s">
        <v>8912</v>
      </c>
      <c r="G421" s="38" t="s">
        <v>9321</v>
      </c>
      <c r="H421" s="38"/>
      <c r="I421" s="35" t="s">
        <v>10515</v>
      </c>
      <c r="J421" s="36" t="s">
        <v>373</v>
      </c>
    </row>
    <row r="422" spans="1:10" x14ac:dyDescent="0.25">
      <c r="A422" s="31" t="s">
        <v>374</v>
      </c>
      <c r="B422" s="31">
        <v>13.1012</v>
      </c>
      <c r="C422" s="32" t="s">
        <v>10534</v>
      </c>
      <c r="D422" s="31" t="s">
        <v>10448</v>
      </c>
      <c r="E422" s="40" t="s">
        <v>10535</v>
      </c>
      <c r="F422" s="38" t="s">
        <v>8912</v>
      </c>
      <c r="G422" s="38" t="s">
        <v>9321</v>
      </c>
      <c r="H422" s="38"/>
      <c r="I422" s="35" t="s">
        <v>10515</v>
      </c>
      <c r="J422" s="36" t="s">
        <v>374</v>
      </c>
    </row>
    <row r="423" spans="1:10" x14ac:dyDescent="0.25">
      <c r="A423" s="31" t="s">
        <v>375</v>
      </c>
      <c r="B423" s="31">
        <v>13.1013</v>
      </c>
      <c r="C423" s="32" t="s">
        <v>10536</v>
      </c>
      <c r="D423" s="31" t="s">
        <v>10448</v>
      </c>
      <c r="E423" s="40" t="s">
        <v>10537</v>
      </c>
      <c r="F423" s="38" t="s">
        <v>8912</v>
      </c>
      <c r="G423" s="38" t="s">
        <v>9321</v>
      </c>
      <c r="H423" s="38"/>
      <c r="I423" s="35" t="s">
        <v>10515</v>
      </c>
      <c r="J423" s="36" t="s">
        <v>375</v>
      </c>
    </row>
    <row r="424" spans="1:10" x14ac:dyDescent="0.25">
      <c r="A424" s="31" t="s">
        <v>376</v>
      </c>
      <c r="B424" s="31">
        <v>13.1014</v>
      </c>
      <c r="C424" s="32" t="s">
        <v>10538</v>
      </c>
      <c r="D424" s="31" t="s">
        <v>10448</v>
      </c>
      <c r="E424" s="40" t="s">
        <v>10539</v>
      </c>
      <c r="F424" s="38" t="s">
        <v>8912</v>
      </c>
      <c r="G424" s="38" t="s">
        <v>9321</v>
      </c>
      <c r="H424" s="38"/>
      <c r="I424" s="35" t="s">
        <v>10515</v>
      </c>
      <c r="J424" s="36" t="s">
        <v>376</v>
      </c>
    </row>
    <row r="425" spans="1:10" x14ac:dyDescent="0.25">
      <c r="A425" s="31" t="s">
        <v>377</v>
      </c>
      <c r="B425" s="31">
        <v>13.1015</v>
      </c>
      <c r="C425" s="32" t="s">
        <v>10540</v>
      </c>
      <c r="D425" s="31" t="s">
        <v>10448</v>
      </c>
      <c r="E425" s="40" t="s">
        <v>10541</v>
      </c>
      <c r="F425" s="38" t="s">
        <v>8912</v>
      </c>
      <c r="G425" s="38" t="s">
        <v>9321</v>
      </c>
      <c r="H425" s="38"/>
      <c r="I425" s="35" t="s">
        <v>10515</v>
      </c>
      <c r="J425" s="36" t="s">
        <v>377</v>
      </c>
    </row>
    <row r="426" spans="1:10" x14ac:dyDescent="0.25">
      <c r="A426" s="31" t="s">
        <v>378</v>
      </c>
      <c r="B426" s="31">
        <v>13.101599999999999</v>
      </c>
      <c r="C426" s="32" t="s">
        <v>10542</v>
      </c>
      <c r="D426" s="31" t="s">
        <v>10448</v>
      </c>
      <c r="E426" s="40" t="s">
        <v>10543</v>
      </c>
      <c r="F426" s="38" t="s">
        <v>8912</v>
      </c>
      <c r="G426" s="38" t="s">
        <v>9321</v>
      </c>
      <c r="H426" s="38"/>
      <c r="I426" s="35" t="s">
        <v>10515</v>
      </c>
      <c r="J426" s="36" t="s">
        <v>378</v>
      </c>
    </row>
    <row r="427" spans="1:10" x14ac:dyDescent="0.25">
      <c r="A427" s="31" t="s">
        <v>379</v>
      </c>
      <c r="B427" s="31">
        <v>13.101699999999999</v>
      </c>
      <c r="C427" s="32" t="s">
        <v>10544</v>
      </c>
      <c r="D427" s="31" t="s">
        <v>10448</v>
      </c>
      <c r="E427" s="40" t="s">
        <v>10545</v>
      </c>
      <c r="F427" s="38" t="s">
        <v>8912</v>
      </c>
      <c r="G427" s="38" t="s">
        <v>9321</v>
      </c>
      <c r="H427" s="38"/>
      <c r="I427" s="35" t="s">
        <v>10515</v>
      </c>
      <c r="J427" s="36" t="s">
        <v>379</v>
      </c>
    </row>
    <row r="428" spans="1:10" x14ac:dyDescent="0.25">
      <c r="A428" s="31" t="s">
        <v>380</v>
      </c>
      <c r="B428" s="31">
        <v>13.101800000000001</v>
      </c>
      <c r="C428" s="32" t="s">
        <v>10546</v>
      </c>
      <c r="D428" s="31" t="s">
        <v>10448</v>
      </c>
      <c r="E428" s="40" t="s">
        <v>10547</v>
      </c>
      <c r="F428" s="38" t="s">
        <v>8912</v>
      </c>
      <c r="G428" s="38" t="s">
        <v>9321</v>
      </c>
      <c r="H428" s="38"/>
      <c r="I428" s="35" t="s">
        <v>10515</v>
      </c>
      <c r="J428" s="36" t="s">
        <v>380</v>
      </c>
    </row>
    <row r="429" spans="1:10" x14ac:dyDescent="0.25">
      <c r="A429" s="31" t="s">
        <v>381</v>
      </c>
      <c r="B429" s="31">
        <v>13.101900000000001</v>
      </c>
      <c r="C429" s="32" t="s">
        <v>10548</v>
      </c>
      <c r="D429" s="31" t="s">
        <v>10448</v>
      </c>
      <c r="E429" s="40" t="s">
        <v>10549</v>
      </c>
      <c r="F429" s="38" t="s">
        <v>8912</v>
      </c>
      <c r="G429" s="38" t="s">
        <v>9321</v>
      </c>
      <c r="H429" s="38"/>
      <c r="I429" s="35" t="s">
        <v>10515</v>
      </c>
      <c r="J429" s="36" t="s">
        <v>381</v>
      </c>
    </row>
    <row r="430" spans="1:10" x14ac:dyDescent="0.25">
      <c r="A430" s="31" t="s">
        <v>382</v>
      </c>
      <c r="B430" s="31">
        <v>13.1099</v>
      </c>
      <c r="C430" s="32" t="s">
        <v>10550</v>
      </c>
      <c r="D430" s="31" t="s">
        <v>10448</v>
      </c>
      <c r="E430" s="40" t="s">
        <v>10551</v>
      </c>
      <c r="F430" s="38" t="s">
        <v>8912</v>
      </c>
      <c r="G430" s="38" t="s">
        <v>9321</v>
      </c>
      <c r="H430" s="38"/>
      <c r="I430" s="35" t="s">
        <v>10515</v>
      </c>
      <c r="J430" s="36" t="s">
        <v>382</v>
      </c>
    </row>
    <row r="431" spans="1:10" x14ac:dyDescent="0.25">
      <c r="A431" s="31" t="s">
        <v>383</v>
      </c>
      <c r="B431" s="31">
        <v>13.11</v>
      </c>
      <c r="C431" s="32" t="s">
        <v>10552</v>
      </c>
      <c r="D431" s="31" t="s">
        <v>10448</v>
      </c>
      <c r="E431" s="40" t="s">
        <v>9322</v>
      </c>
      <c r="F431" s="38" t="s">
        <v>8912</v>
      </c>
      <c r="G431" s="38" t="s">
        <v>9322</v>
      </c>
      <c r="H431" s="38" t="s">
        <v>9322</v>
      </c>
      <c r="I431" s="35" t="s">
        <v>10552</v>
      </c>
      <c r="J431" s="36" t="s">
        <v>383</v>
      </c>
    </row>
    <row r="432" spans="1:10" x14ac:dyDescent="0.25">
      <c r="A432" s="31" t="s">
        <v>384</v>
      </c>
      <c r="B432" s="31">
        <v>13.110099999999999</v>
      </c>
      <c r="C432" s="32" t="s">
        <v>10553</v>
      </c>
      <c r="D432" s="31" t="s">
        <v>10448</v>
      </c>
      <c r="E432" s="40" t="s">
        <v>10554</v>
      </c>
      <c r="F432" s="38" t="s">
        <v>8912</v>
      </c>
      <c r="G432" s="38" t="s">
        <v>9322</v>
      </c>
      <c r="H432" s="38"/>
      <c r="I432" s="35" t="s">
        <v>10552</v>
      </c>
      <c r="J432" s="36" t="s">
        <v>384</v>
      </c>
    </row>
    <row r="433" spans="1:10" x14ac:dyDescent="0.25">
      <c r="A433" s="31" t="s">
        <v>385</v>
      </c>
      <c r="B433" s="31">
        <v>13.110200000000001</v>
      </c>
      <c r="C433" s="32" t="s">
        <v>10555</v>
      </c>
      <c r="D433" s="31" t="s">
        <v>10448</v>
      </c>
      <c r="E433" s="40" t="s">
        <v>10556</v>
      </c>
      <c r="F433" s="38" t="s">
        <v>8912</v>
      </c>
      <c r="G433" s="38" t="s">
        <v>9322</v>
      </c>
      <c r="H433" s="38"/>
      <c r="I433" s="35" t="s">
        <v>10552</v>
      </c>
      <c r="J433" s="36" t="s">
        <v>385</v>
      </c>
    </row>
    <row r="434" spans="1:10" x14ac:dyDescent="0.25">
      <c r="A434" s="31" t="s">
        <v>386</v>
      </c>
      <c r="B434" s="31">
        <v>13.119899999999999</v>
      </c>
      <c r="C434" s="32" t="s">
        <v>10557</v>
      </c>
      <c r="D434" s="31" t="s">
        <v>10448</v>
      </c>
      <c r="E434" s="40" t="s">
        <v>10558</v>
      </c>
      <c r="F434" s="38" t="s">
        <v>8912</v>
      </c>
      <c r="G434" s="38" t="s">
        <v>9322</v>
      </c>
      <c r="H434" s="38"/>
      <c r="I434" s="35" t="s">
        <v>10552</v>
      </c>
      <c r="J434" s="36" t="s">
        <v>386</v>
      </c>
    </row>
    <row r="435" spans="1:10" x14ac:dyDescent="0.25">
      <c r="A435" s="31" t="s">
        <v>387</v>
      </c>
      <c r="B435" s="31">
        <v>13.12</v>
      </c>
      <c r="C435" s="32" t="s">
        <v>10559</v>
      </c>
      <c r="D435" s="31" t="s">
        <v>10448</v>
      </c>
      <c r="E435" s="40" t="s">
        <v>9323</v>
      </c>
      <c r="F435" s="38" t="s">
        <v>8912</v>
      </c>
      <c r="G435" s="38" t="s">
        <v>9323</v>
      </c>
      <c r="H435" s="38" t="s">
        <v>9323</v>
      </c>
      <c r="I435" s="35" t="s">
        <v>10559</v>
      </c>
      <c r="J435" s="36" t="s">
        <v>387</v>
      </c>
    </row>
    <row r="436" spans="1:10" x14ac:dyDescent="0.25">
      <c r="A436" s="31" t="s">
        <v>388</v>
      </c>
      <c r="B436" s="31">
        <v>13.120100000000001</v>
      </c>
      <c r="C436" s="32" t="s">
        <v>10560</v>
      </c>
      <c r="D436" s="31" t="s">
        <v>10448</v>
      </c>
      <c r="E436" s="40" t="s">
        <v>10561</v>
      </c>
      <c r="F436" s="38" t="s">
        <v>8912</v>
      </c>
      <c r="G436" s="38" t="s">
        <v>9323</v>
      </c>
      <c r="H436" s="38"/>
      <c r="I436" s="35" t="s">
        <v>10559</v>
      </c>
      <c r="J436" s="36" t="s">
        <v>388</v>
      </c>
    </row>
    <row r="437" spans="1:10" x14ac:dyDescent="0.25">
      <c r="A437" s="31" t="s">
        <v>389</v>
      </c>
      <c r="B437" s="31">
        <v>13.120200000000001</v>
      </c>
      <c r="C437" s="32" t="s">
        <v>10562</v>
      </c>
      <c r="D437" s="31" t="s">
        <v>10448</v>
      </c>
      <c r="E437" s="40" t="s">
        <v>10563</v>
      </c>
      <c r="F437" s="38" t="s">
        <v>8912</v>
      </c>
      <c r="G437" s="38" t="s">
        <v>9323</v>
      </c>
      <c r="H437" s="38"/>
      <c r="I437" s="35" t="s">
        <v>10559</v>
      </c>
      <c r="J437" s="36" t="s">
        <v>389</v>
      </c>
    </row>
    <row r="438" spans="1:10" x14ac:dyDescent="0.25">
      <c r="A438" s="31" t="s">
        <v>390</v>
      </c>
      <c r="B438" s="31">
        <v>13.1203</v>
      </c>
      <c r="C438" s="32" t="s">
        <v>10564</v>
      </c>
      <c r="D438" s="31" t="s">
        <v>10448</v>
      </c>
      <c r="E438" s="40" t="s">
        <v>10565</v>
      </c>
      <c r="F438" s="38" t="s">
        <v>8912</v>
      </c>
      <c r="G438" s="38" t="s">
        <v>9323</v>
      </c>
      <c r="H438" s="38"/>
      <c r="I438" s="35" t="s">
        <v>10559</v>
      </c>
      <c r="J438" s="36" t="s">
        <v>390</v>
      </c>
    </row>
    <row r="439" spans="1:10" x14ac:dyDescent="0.25">
      <c r="A439" s="31" t="s">
        <v>391</v>
      </c>
      <c r="B439" s="31">
        <v>13.1205</v>
      </c>
      <c r="C439" s="32" t="s">
        <v>10566</v>
      </c>
      <c r="D439" s="31" t="s">
        <v>10448</v>
      </c>
      <c r="E439" s="40" t="s">
        <v>10567</v>
      </c>
      <c r="F439" s="38" t="s">
        <v>8912</v>
      </c>
      <c r="G439" s="38" t="s">
        <v>9323</v>
      </c>
      <c r="H439" s="38"/>
      <c r="I439" s="35" t="s">
        <v>10559</v>
      </c>
      <c r="J439" s="36" t="s">
        <v>391</v>
      </c>
    </row>
    <row r="440" spans="1:10" x14ac:dyDescent="0.25">
      <c r="A440" s="31" t="s">
        <v>392</v>
      </c>
      <c r="B440" s="31">
        <v>13.1206</v>
      </c>
      <c r="C440" s="32" t="s">
        <v>10568</v>
      </c>
      <c r="D440" s="31" t="s">
        <v>10448</v>
      </c>
      <c r="E440" s="40" t="s">
        <v>10569</v>
      </c>
      <c r="F440" s="38" t="s">
        <v>8912</v>
      </c>
      <c r="G440" s="38" t="s">
        <v>9323</v>
      </c>
      <c r="H440" s="38"/>
      <c r="I440" s="35" t="s">
        <v>10559</v>
      </c>
      <c r="J440" s="36" t="s">
        <v>392</v>
      </c>
    </row>
    <row r="441" spans="1:10" x14ac:dyDescent="0.25">
      <c r="A441" s="31" t="s">
        <v>393</v>
      </c>
      <c r="B441" s="31">
        <v>13.120699999999999</v>
      </c>
      <c r="C441" s="32" t="s">
        <v>10570</v>
      </c>
      <c r="D441" s="31" t="s">
        <v>10448</v>
      </c>
      <c r="E441" s="40" t="s">
        <v>10571</v>
      </c>
      <c r="F441" s="38" t="s">
        <v>8912</v>
      </c>
      <c r="G441" s="38" t="s">
        <v>9323</v>
      </c>
      <c r="H441" s="38"/>
      <c r="I441" s="35" t="s">
        <v>10559</v>
      </c>
      <c r="J441" s="36" t="s">
        <v>393</v>
      </c>
    </row>
    <row r="442" spans="1:10" x14ac:dyDescent="0.25">
      <c r="A442" s="31" t="s">
        <v>394</v>
      </c>
      <c r="B442" s="31">
        <v>13.120799999999999</v>
      </c>
      <c r="C442" s="32" t="s">
        <v>10572</v>
      </c>
      <c r="D442" s="31" t="s">
        <v>10448</v>
      </c>
      <c r="E442" s="40" t="s">
        <v>10573</v>
      </c>
      <c r="F442" s="38" t="s">
        <v>8912</v>
      </c>
      <c r="G442" s="38" t="s">
        <v>9323</v>
      </c>
      <c r="H442" s="38"/>
      <c r="I442" s="35" t="s">
        <v>10559</v>
      </c>
      <c r="J442" s="36" t="s">
        <v>394</v>
      </c>
    </row>
    <row r="443" spans="1:10" x14ac:dyDescent="0.25">
      <c r="A443" s="31" t="s">
        <v>395</v>
      </c>
      <c r="B443" s="31">
        <v>13.120900000000001</v>
      </c>
      <c r="C443" s="32" t="s">
        <v>10574</v>
      </c>
      <c r="D443" s="31" t="s">
        <v>10448</v>
      </c>
      <c r="E443" s="40" t="s">
        <v>10575</v>
      </c>
      <c r="F443" s="38" t="s">
        <v>8912</v>
      </c>
      <c r="G443" s="38" t="s">
        <v>9323</v>
      </c>
      <c r="H443" s="38"/>
      <c r="I443" s="35" t="s">
        <v>10559</v>
      </c>
      <c r="J443" s="36" t="s">
        <v>395</v>
      </c>
    </row>
    <row r="444" spans="1:10" x14ac:dyDescent="0.25">
      <c r="A444" s="31" t="s">
        <v>396</v>
      </c>
      <c r="B444" s="31">
        <v>13.121</v>
      </c>
      <c r="C444" s="32" t="s">
        <v>10576</v>
      </c>
      <c r="D444" s="31" t="s">
        <v>10448</v>
      </c>
      <c r="E444" s="40" t="s">
        <v>10577</v>
      </c>
      <c r="F444" s="38" t="s">
        <v>8912</v>
      </c>
      <c r="G444" s="38" t="s">
        <v>9323</v>
      </c>
      <c r="H444" s="38"/>
      <c r="I444" s="35" t="s">
        <v>10559</v>
      </c>
      <c r="J444" s="36" t="s">
        <v>396</v>
      </c>
    </row>
    <row r="445" spans="1:10" x14ac:dyDescent="0.25">
      <c r="A445" s="31" t="s">
        <v>1868</v>
      </c>
      <c r="B445" s="31">
        <v>13.1211</v>
      </c>
      <c r="C445" s="32" t="s">
        <v>10578</v>
      </c>
      <c r="D445" s="31" t="s">
        <v>10448</v>
      </c>
      <c r="E445" s="40" t="s">
        <v>10579</v>
      </c>
      <c r="F445" s="38" t="s">
        <v>8912</v>
      </c>
      <c r="G445" s="38" t="s">
        <v>9323</v>
      </c>
      <c r="H445" s="38"/>
      <c r="I445" s="35" t="s">
        <v>10559</v>
      </c>
      <c r="J445" s="36" t="s">
        <v>1868</v>
      </c>
    </row>
    <row r="446" spans="1:10" x14ac:dyDescent="0.25">
      <c r="A446" s="31" t="s">
        <v>1869</v>
      </c>
      <c r="B446" s="31">
        <v>13.1212</v>
      </c>
      <c r="C446" s="32" t="s">
        <v>10580</v>
      </c>
      <c r="D446" s="31" t="s">
        <v>10448</v>
      </c>
      <c r="E446" s="40" t="s">
        <v>10581</v>
      </c>
      <c r="F446" s="38" t="s">
        <v>8912</v>
      </c>
      <c r="G446" s="38" t="s">
        <v>9323</v>
      </c>
      <c r="H446" s="38"/>
      <c r="I446" s="35" t="s">
        <v>10559</v>
      </c>
      <c r="J446" s="36" t="s">
        <v>1869</v>
      </c>
    </row>
    <row r="447" spans="1:10" x14ac:dyDescent="0.25">
      <c r="A447" s="31" t="s">
        <v>1870</v>
      </c>
      <c r="B447" s="31">
        <v>13.1213</v>
      </c>
      <c r="C447" s="32" t="s">
        <v>10582</v>
      </c>
      <c r="D447" s="31" t="s">
        <v>10448</v>
      </c>
      <c r="E447" s="40" t="s">
        <v>10583</v>
      </c>
      <c r="F447" s="38" t="s">
        <v>8912</v>
      </c>
      <c r="G447" s="38" t="s">
        <v>9323</v>
      </c>
      <c r="H447" s="38"/>
      <c r="I447" s="35" t="s">
        <v>10559</v>
      </c>
      <c r="J447" s="36" t="s">
        <v>1870</v>
      </c>
    </row>
    <row r="448" spans="1:10" x14ac:dyDescent="0.25">
      <c r="A448" s="31" t="s">
        <v>1871</v>
      </c>
      <c r="B448" s="31">
        <v>13.1214</v>
      </c>
      <c r="C448" s="32" t="s">
        <v>10584</v>
      </c>
      <c r="D448" s="31" t="s">
        <v>10448</v>
      </c>
      <c r="E448" s="40" t="s">
        <v>10585</v>
      </c>
      <c r="F448" s="38" t="s">
        <v>8912</v>
      </c>
      <c r="G448" s="38" t="s">
        <v>9323</v>
      </c>
      <c r="H448" s="38"/>
      <c r="I448" s="35" t="s">
        <v>10559</v>
      </c>
      <c r="J448" s="36" t="s">
        <v>1871</v>
      </c>
    </row>
    <row r="449" spans="1:10" x14ac:dyDescent="0.25">
      <c r="A449" s="31" t="s">
        <v>397</v>
      </c>
      <c r="B449" s="31">
        <v>13.129899999999999</v>
      </c>
      <c r="C449" s="32" t="s">
        <v>10586</v>
      </c>
      <c r="D449" s="31" t="s">
        <v>10448</v>
      </c>
      <c r="E449" s="40" t="s">
        <v>10587</v>
      </c>
      <c r="F449" s="38" t="s">
        <v>8912</v>
      </c>
      <c r="G449" s="38" t="s">
        <v>9323</v>
      </c>
      <c r="H449" s="38"/>
      <c r="I449" s="35" t="s">
        <v>10559</v>
      </c>
      <c r="J449" s="36" t="s">
        <v>397</v>
      </c>
    </row>
    <row r="450" spans="1:10" x14ac:dyDescent="0.25">
      <c r="A450" s="31" t="s">
        <v>398</v>
      </c>
      <c r="B450" s="31">
        <v>13.13</v>
      </c>
      <c r="C450" s="32" t="s">
        <v>10588</v>
      </c>
      <c r="D450" s="31" t="s">
        <v>10448</v>
      </c>
      <c r="E450" s="40" t="s">
        <v>9324</v>
      </c>
      <c r="F450" s="38" t="s">
        <v>8912</v>
      </c>
      <c r="G450" s="38" t="s">
        <v>9324</v>
      </c>
      <c r="H450" s="38" t="s">
        <v>9324</v>
      </c>
      <c r="I450" s="35" t="s">
        <v>10588</v>
      </c>
      <c r="J450" s="36" t="s">
        <v>398</v>
      </c>
    </row>
    <row r="451" spans="1:10" x14ac:dyDescent="0.25">
      <c r="A451" s="31" t="s">
        <v>399</v>
      </c>
      <c r="B451" s="31">
        <v>13.130100000000001</v>
      </c>
      <c r="C451" s="32" t="s">
        <v>10589</v>
      </c>
      <c r="D451" s="31" t="s">
        <v>10448</v>
      </c>
      <c r="E451" s="40" t="s">
        <v>10590</v>
      </c>
      <c r="F451" s="38" t="s">
        <v>8912</v>
      </c>
      <c r="G451" s="38" t="s">
        <v>9324</v>
      </c>
      <c r="H451" s="38"/>
      <c r="I451" s="35" t="s">
        <v>10588</v>
      </c>
      <c r="J451" s="36" t="s">
        <v>399</v>
      </c>
    </row>
    <row r="452" spans="1:10" x14ac:dyDescent="0.25">
      <c r="A452" s="31" t="s">
        <v>400</v>
      </c>
      <c r="B452" s="31">
        <v>13.1302</v>
      </c>
      <c r="C452" s="32" t="s">
        <v>10591</v>
      </c>
      <c r="D452" s="31" t="s">
        <v>10448</v>
      </c>
      <c r="E452" s="40" t="s">
        <v>10592</v>
      </c>
      <c r="F452" s="38" t="s">
        <v>8912</v>
      </c>
      <c r="G452" s="38" t="s">
        <v>9324</v>
      </c>
      <c r="H452" s="38"/>
      <c r="I452" s="35" t="s">
        <v>10588</v>
      </c>
      <c r="J452" s="36" t="s">
        <v>400</v>
      </c>
    </row>
    <row r="453" spans="1:10" x14ac:dyDescent="0.25">
      <c r="A453" s="31" t="s">
        <v>1872</v>
      </c>
      <c r="B453" s="31">
        <v>13.1303</v>
      </c>
      <c r="C453" s="32" t="s">
        <v>10593</v>
      </c>
      <c r="D453" s="31" t="s">
        <v>10448</v>
      </c>
      <c r="E453" s="40" t="s">
        <v>10594</v>
      </c>
      <c r="F453" s="38" t="s">
        <v>8912</v>
      </c>
      <c r="G453" s="38" t="s">
        <v>9324</v>
      </c>
      <c r="H453" s="38"/>
      <c r="I453" s="35" t="s">
        <v>10588</v>
      </c>
      <c r="J453" s="36" t="s">
        <v>1872</v>
      </c>
    </row>
    <row r="454" spans="1:10" x14ac:dyDescent="0.25">
      <c r="A454" s="31" t="s">
        <v>401</v>
      </c>
      <c r="B454" s="31">
        <v>13.1304</v>
      </c>
      <c r="C454" s="32" t="s">
        <v>10595</v>
      </c>
      <c r="D454" s="31" t="s">
        <v>10448</v>
      </c>
      <c r="E454" s="40" t="s">
        <v>10596</v>
      </c>
      <c r="F454" s="38" t="s">
        <v>8912</v>
      </c>
      <c r="G454" s="38" t="s">
        <v>9324</v>
      </c>
      <c r="H454" s="38"/>
      <c r="I454" s="35" t="s">
        <v>10588</v>
      </c>
      <c r="J454" s="36" t="s">
        <v>401</v>
      </c>
    </row>
    <row r="455" spans="1:10" x14ac:dyDescent="0.25">
      <c r="A455" s="31" t="s">
        <v>402</v>
      </c>
      <c r="B455" s="31">
        <v>13.1305</v>
      </c>
      <c r="C455" s="32" t="s">
        <v>10597</v>
      </c>
      <c r="D455" s="31" t="s">
        <v>10448</v>
      </c>
      <c r="E455" s="40" t="s">
        <v>10598</v>
      </c>
      <c r="F455" s="38" t="s">
        <v>8912</v>
      </c>
      <c r="G455" s="38" t="s">
        <v>9324</v>
      </c>
      <c r="H455" s="38"/>
      <c r="I455" s="35" t="s">
        <v>10588</v>
      </c>
      <c r="J455" s="36" t="s">
        <v>402</v>
      </c>
    </row>
    <row r="456" spans="1:10" x14ac:dyDescent="0.25">
      <c r="A456" s="31" t="s">
        <v>403</v>
      </c>
      <c r="B456" s="31">
        <v>13.130599999999999</v>
      </c>
      <c r="C456" s="32" t="s">
        <v>10599</v>
      </c>
      <c r="D456" s="31" t="s">
        <v>10448</v>
      </c>
      <c r="E456" s="40" t="s">
        <v>10600</v>
      </c>
      <c r="F456" s="38" t="s">
        <v>8912</v>
      </c>
      <c r="G456" s="38" t="s">
        <v>9324</v>
      </c>
      <c r="H456" s="38"/>
      <c r="I456" s="35" t="s">
        <v>10588</v>
      </c>
      <c r="J456" s="36" t="s">
        <v>403</v>
      </c>
    </row>
    <row r="457" spans="1:10" x14ac:dyDescent="0.25">
      <c r="A457" s="31" t="s">
        <v>404</v>
      </c>
      <c r="B457" s="31">
        <v>13.130699999999999</v>
      </c>
      <c r="C457" s="32" t="s">
        <v>10601</v>
      </c>
      <c r="D457" s="31" t="s">
        <v>10448</v>
      </c>
      <c r="E457" s="40" t="s">
        <v>10602</v>
      </c>
      <c r="F457" s="38" t="s">
        <v>8912</v>
      </c>
      <c r="G457" s="38" t="s">
        <v>9324</v>
      </c>
      <c r="H457" s="38"/>
      <c r="I457" s="35" t="s">
        <v>10588</v>
      </c>
      <c r="J457" s="36" t="s">
        <v>404</v>
      </c>
    </row>
    <row r="458" spans="1:10" x14ac:dyDescent="0.25">
      <c r="A458" s="31" t="s">
        <v>405</v>
      </c>
      <c r="B458" s="31">
        <v>13.130800000000001</v>
      </c>
      <c r="C458" s="32" t="s">
        <v>10603</v>
      </c>
      <c r="D458" s="31" t="s">
        <v>10448</v>
      </c>
      <c r="E458" s="40" t="s">
        <v>10604</v>
      </c>
      <c r="F458" s="38" t="s">
        <v>8912</v>
      </c>
      <c r="G458" s="38" t="s">
        <v>9324</v>
      </c>
      <c r="H458" s="38"/>
      <c r="I458" s="35" t="s">
        <v>10588</v>
      </c>
      <c r="J458" s="36" t="s">
        <v>405</v>
      </c>
    </row>
    <row r="459" spans="1:10" x14ac:dyDescent="0.25">
      <c r="A459" s="31" t="s">
        <v>406</v>
      </c>
      <c r="B459" s="31">
        <v>13.1309</v>
      </c>
      <c r="C459" s="32" t="s">
        <v>10605</v>
      </c>
      <c r="D459" s="31" t="s">
        <v>10448</v>
      </c>
      <c r="E459" s="40" t="s">
        <v>10606</v>
      </c>
      <c r="F459" s="38" t="s">
        <v>8912</v>
      </c>
      <c r="G459" s="38" t="s">
        <v>9324</v>
      </c>
      <c r="H459" s="38"/>
      <c r="I459" s="35" t="s">
        <v>10588</v>
      </c>
      <c r="J459" s="36" t="s">
        <v>406</v>
      </c>
    </row>
    <row r="460" spans="1:10" x14ac:dyDescent="0.25">
      <c r="A460" s="31" t="s">
        <v>407</v>
      </c>
      <c r="B460" s="31">
        <v>13.131</v>
      </c>
      <c r="C460" s="32" t="s">
        <v>10607</v>
      </c>
      <c r="D460" s="31" t="s">
        <v>10448</v>
      </c>
      <c r="E460" s="40" t="s">
        <v>10608</v>
      </c>
      <c r="F460" s="38" t="s">
        <v>8912</v>
      </c>
      <c r="G460" s="38" t="s">
        <v>9324</v>
      </c>
      <c r="H460" s="38"/>
      <c r="I460" s="35" t="s">
        <v>10588</v>
      </c>
      <c r="J460" s="36" t="s">
        <v>407</v>
      </c>
    </row>
    <row r="461" spans="1:10" x14ac:dyDescent="0.25">
      <c r="A461" s="31" t="s">
        <v>408</v>
      </c>
      <c r="B461" s="31">
        <v>13.1311</v>
      </c>
      <c r="C461" s="32" t="s">
        <v>10609</v>
      </c>
      <c r="D461" s="31" t="s">
        <v>10448</v>
      </c>
      <c r="E461" s="40" t="s">
        <v>10610</v>
      </c>
      <c r="F461" s="38" t="s">
        <v>8912</v>
      </c>
      <c r="G461" s="38" t="s">
        <v>9324</v>
      </c>
      <c r="H461" s="38"/>
      <c r="I461" s="35" t="s">
        <v>10588</v>
      </c>
      <c r="J461" s="36" t="s">
        <v>408</v>
      </c>
    </row>
    <row r="462" spans="1:10" x14ac:dyDescent="0.25">
      <c r="A462" s="31" t="s">
        <v>409</v>
      </c>
      <c r="B462" s="31">
        <v>13.1312</v>
      </c>
      <c r="C462" s="32" t="s">
        <v>10611</v>
      </c>
      <c r="D462" s="31" t="s">
        <v>10448</v>
      </c>
      <c r="E462" s="40" t="s">
        <v>10612</v>
      </c>
      <c r="F462" s="38" t="s">
        <v>8912</v>
      </c>
      <c r="G462" s="38" t="s">
        <v>9324</v>
      </c>
      <c r="H462" s="38"/>
      <c r="I462" s="35" t="s">
        <v>10588</v>
      </c>
      <c r="J462" s="36" t="s">
        <v>409</v>
      </c>
    </row>
    <row r="463" spans="1:10" x14ac:dyDescent="0.25">
      <c r="A463" s="31" t="s">
        <v>410</v>
      </c>
      <c r="B463" s="31">
        <v>13.131399999999999</v>
      </c>
      <c r="C463" s="32" t="s">
        <v>10613</v>
      </c>
      <c r="D463" s="31" t="s">
        <v>10448</v>
      </c>
      <c r="E463" s="40" t="s">
        <v>10614</v>
      </c>
      <c r="F463" s="38" t="s">
        <v>8912</v>
      </c>
      <c r="G463" s="38" t="s">
        <v>9324</v>
      </c>
      <c r="H463" s="38"/>
      <c r="I463" s="35" t="s">
        <v>10588</v>
      </c>
      <c r="J463" s="36" t="s">
        <v>410</v>
      </c>
    </row>
    <row r="464" spans="1:10" x14ac:dyDescent="0.25">
      <c r="A464" s="31" t="s">
        <v>411</v>
      </c>
      <c r="B464" s="31">
        <v>13.131500000000001</v>
      </c>
      <c r="C464" s="32" t="s">
        <v>10615</v>
      </c>
      <c r="D464" s="31" t="s">
        <v>10448</v>
      </c>
      <c r="E464" s="40" t="s">
        <v>10616</v>
      </c>
      <c r="F464" s="38" t="s">
        <v>8912</v>
      </c>
      <c r="G464" s="38" t="s">
        <v>9324</v>
      </c>
      <c r="H464" s="38"/>
      <c r="I464" s="35" t="s">
        <v>10588</v>
      </c>
      <c r="J464" s="36" t="s">
        <v>411</v>
      </c>
    </row>
    <row r="465" spans="1:10" x14ac:dyDescent="0.25">
      <c r="A465" s="31" t="s">
        <v>412</v>
      </c>
      <c r="B465" s="31">
        <v>13.131600000000001</v>
      </c>
      <c r="C465" s="32" t="s">
        <v>10617</v>
      </c>
      <c r="D465" s="31" t="s">
        <v>10448</v>
      </c>
      <c r="E465" s="40" t="s">
        <v>10618</v>
      </c>
      <c r="F465" s="38" t="s">
        <v>8912</v>
      </c>
      <c r="G465" s="38" t="s">
        <v>9324</v>
      </c>
      <c r="H465" s="38"/>
      <c r="I465" s="35" t="s">
        <v>10588</v>
      </c>
      <c r="J465" s="36" t="s">
        <v>412</v>
      </c>
    </row>
    <row r="466" spans="1:10" x14ac:dyDescent="0.25">
      <c r="A466" s="31" t="s">
        <v>413</v>
      </c>
      <c r="B466" s="31">
        <v>13.1317</v>
      </c>
      <c r="C466" s="32" t="s">
        <v>10619</v>
      </c>
      <c r="D466" s="31" t="s">
        <v>10448</v>
      </c>
      <c r="E466" s="40" t="s">
        <v>10620</v>
      </c>
      <c r="F466" s="38" t="s">
        <v>8912</v>
      </c>
      <c r="G466" s="38" t="s">
        <v>9324</v>
      </c>
      <c r="H466" s="38"/>
      <c r="I466" s="35" t="s">
        <v>10588</v>
      </c>
      <c r="J466" s="36" t="s">
        <v>413</v>
      </c>
    </row>
    <row r="467" spans="1:10" x14ac:dyDescent="0.25">
      <c r="A467" s="31" t="s">
        <v>414</v>
      </c>
      <c r="B467" s="31">
        <v>13.1318</v>
      </c>
      <c r="C467" s="32" t="s">
        <v>10621</v>
      </c>
      <c r="D467" s="31" t="s">
        <v>10448</v>
      </c>
      <c r="E467" s="40" t="s">
        <v>10622</v>
      </c>
      <c r="F467" s="38" t="s">
        <v>8912</v>
      </c>
      <c r="G467" s="38" t="s">
        <v>9324</v>
      </c>
      <c r="H467" s="38"/>
      <c r="I467" s="35" t="s">
        <v>10588</v>
      </c>
      <c r="J467" s="36" t="s">
        <v>414</v>
      </c>
    </row>
    <row r="468" spans="1:10" x14ac:dyDescent="0.25">
      <c r="A468" s="31" t="s">
        <v>415</v>
      </c>
      <c r="B468" s="31">
        <v>13.1319</v>
      </c>
      <c r="C468" s="32" t="s">
        <v>10623</v>
      </c>
      <c r="D468" s="31" t="s">
        <v>10448</v>
      </c>
      <c r="E468" s="40" t="s">
        <v>10624</v>
      </c>
      <c r="F468" s="38" t="s">
        <v>8912</v>
      </c>
      <c r="G468" s="38" t="s">
        <v>9324</v>
      </c>
      <c r="H468" s="38"/>
      <c r="I468" s="35" t="s">
        <v>10588</v>
      </c>
      <c r="J468" s="36" t="s">
        <v>415</v>
      </c>
    </row>
    <row r="469" spans="1:10" x14ac:dyDescent="0.25">
      <c r="A469" s="31" t="s">
        <v>416</v>
      </c>
      <c r="B469" s="31">
        <v>13.132</v>
      </c>
      <c r="C469" s="32" t="s">
        <v>10625</v>
      </c>
      <c r="D469" s="31" t="s">
        <v>10448</v>
      </c>
      <c r="E469" s="40" t="s">
        <v>10626</v>
      </c>
      <c r="F469" s="38" t="s">
        <v>8912</v>
      </c>
      <c r="G469" s="38" t="s">
        <v>9324</v>
      </c>
      <c r="H469" s="38"/>
      <c r="I469" s="35" t="s">
        <v>10588</v>
      </c>
      <c r="J469" s="36" t="s">
        <v>416</v>
      </c>
    </row>
    <row r="470" spans="1:10" x14ac:dyDescent="0.25">
      <c r="A470" s="31" t="s">
        <v>417</v>
      </c>
      <c r="B470" s="31">
        <v>13.132099999999999</v>
      </c>
      <c r="C470" s="32" t="s">
        <v>10627</v>
      </c>
      <c r="D470" s="31" t="s">
        <v>10448</v>
      </c>
      <c r="E470" s="40" t="s">
        <v>10628</v>
      </c>
      <c r="F470" s="38" t="s">
        <v>8912</v>
      </c>
      <c r="G470" s="38" t="s">
        <v>9324</v>
      </c>
      <c r="H470" s="38"/>
      <c r="I470" s="35" t="s">
        <v>10588</v>
      </c>
      <c r="J470" s="36" t="s">
        <v>417</v>
      </c>
    </row>
    <row r="471" spans="1:10" x14ac:dyDescent="0.25">
      <c r="A471" s="31" t="s">
        <v>418</v>
      </c>
      <c r="B471" s="31">
        <v>13.132199999999999</v>
      </c>
      <c r="C471" s="32" t="s">
        <v>10629</v>
      </c>
      <c r="D471" s="31" t="s">
        <v>10448</v>
      </c>
      <c r="E471" s="40" t="s">
        <v>10630</v>
      </c>
      <c r="F471" s="38" t="s">
        <v>8912</v>
      </c>
      <c r="G471" s="38" t="s">
        <v>9324</v>
      </c>
      <c r="H471" s="38"/>
      <c r="I471" s="35" t="s">
        <v>10588</v>
      </c>
      <c r="J471" s="36" t="s">
        <v>418</v>
      </c>
    </row>
    <row r="472" spans="1:10" x14ac:dyDescent="0.25">
      <c r="A472" s="31" t="s">
        <v>419</v>
      </c>
      <c r="B472" s="31">
        <v>13.132300000000001</v>
      </c>
      <c r="C472" s="32" t="s">
        <v>10631</v>
      </c>
      <c r="D472" s="31" t="s">
        <v>10448</v>
      </c>
      <c r="E472" s="40" t="s">
        <v>10632</v>
      </c>
      <c r="F472" s="38" t="s">
        <v>8912</v>
      </c>
      <c r="G472" s="38" t="s">
        <v>9324</v>
      </c>
      <c r="H472" s="38"/>
      <c r="I472" s="35" t="s">
        <v>10588</v>
      </c>
      <c r="J472" s="36" t="s">
        <v>419</v>
      </c>
    </row>
    <row r="473" spans="1:10" x14ac:dyDescent="0.25">
      <c r="A473" s="31" t="s">
        <v>420</v>
      </c>
      <c r="B473" s="31">
        <v>13.132400000000001</v>
      </c>
      <c r="C473" s="32" t="s">
        <v>10633</v>
      </c>
      <c r="D473" s="31" t="s">
        <v>10448</v>
      </c>
      <c r="E473" s="40" t="s">
        <v>10634</v>
      </c>
      <c r="F473" s="38" t="s">
        <v>8912</v>
      </c>
      <c r="G473" s="38" t="s">
        <v>9324</v>
      </c>
      <c r="H473" s="38"/>
      <c r="I473" s="35" t="s">
        <v>10588</v>
      </c>
      <c r="J473" s="36" t="s">
        <v>420</v>
      </c>
    </row>
    <row r="474" spans="1:10" x14ac:dyDescent="0.25">
      <c r="A474" s="31" t="s">
        <v>421</v>
      </c>
      <c r="B474" s="31">
        <v>13.1325</v>
      </c>
      <c r="C474" s="32" t="s">
        <v>10635</v>
      </c>
      <c r="D474" s="31" t="s">
        <v>10448</v>
      </c>
      <c r="E474" s="40" t="s">
        <v>10636</v>
      </c>
      <c r="F474" s="38" t="s">
        <v>8912</v>
      </c>
      <c r="G474" s="38" t="s">
        <v>9324</v>
      </c>
      <c r="H474" s="38"/>
      <c r="I474" s="35" t="s">
        <v>10588</v>
      </c>
      <c r="J474" s="36" t="s">
        <v>421</v>
      </c>
    </row>
    <row r="475" spans="1:10" x14ac:dyDescent="0.25">
      <c r="A475" s="31" t="s">
        <v>422</v>
      </c>
      <c r="B475" s="31">
        <v>13.1326</v>
      </c>
      <c r="C475" s="32" t="s">
        <v>10637</v>
      </c>
      <c r="D475" s="31" t="s">
        <v>10448</v>
      </c>
      <c r="E475" s="40" t="s">
        <v>10638</v>
      </c>
      <c r="F475" s="38" t="s">
        <v>8912</v>
      </c>
      <c r="G475" s="38" t="s">
        <v>9324</v>
      </c>
      <c r="H475" s="38"/>
      <c r="I475" s="35" t="s">
        <v>10588</v>
      </c>
      <c r="J475" s="36" t="s">
        <v>422</v>
      </c>
    </row>
    <row r="476" spans="1:10" x14ac:dyDescent="0.25">
      <c r="A476" s="31" t="s">
        <v>423</v>
      </c>
      <c r="B476" s="31">
        <v>13.1327</v>
      </c>
      <c r="C476" s="32" t="s">
        <v>10639</v>
      </c>
      <c r="D476" s="31" t="s">
        <v>10448</v>
      </c>
      <c r="E476" s="40" t="s">
        <v>10640</v>
      </c>
      <c r="F476" s="38" t="s">
        <v>8912</v>
      </c>
      <c r="G476" s="38" t="s">
        <v>9324</v>
      </c>
      <c r="H476" s="38"/>
      <c r="I476" s="35" t="s">
        <v>10588</v>
      </c>
      <c r="J476" s="36" t="s">
        <v>423</v>
      </c>
    </row>
    <row r="477" spans="1:10" x14ac:dyDescent="0.25">
      <c r="A477" s="31" t="s">
        <v>424</v>
      </c>
      <c r="B477" s="31">
        <v>13.1328</v>
      </c>
      <c r="C477" s="32" t="s">
        <v>10641</v>
      </c>
      <c r="D477" s="31" t="s">
        <v>10448</v>
      </c>
      <c r="E477" s="40" t="s">
        <v>10642</v>
      </c>
      <c r="F477" s="38" t="s">
        <v>8912</v>
      </c>
      <c r="G477" s="38" t="s">
        <v>9324</v>
      </c>
      <c r="H477" s="38"/>
      <c r="I477" s="35" t="s">
        <v>10588</v>
      </c>
      <c r="J477" s="36" t="s">
        <v>424</v>
      </c>
    </row>
    <row r="478" spans="1:10" x14ac:dyDescent="0.25">
      <c r="A478" s="31" t="s">
        <v>425</v>
      </c>
      <c r="B478" s="31">
        <v>13.132899999999999</v>
      </c>
      <c r="C478" s="32" t="s">
        <v>10643</v>
      </c>
      <c r="D478" s="31" t="s">
        <v>10448</v>
      </c>
      <c r="E478" s="40" t="s">
        <v>10644</v>
      </c>
      <c r="F478" s="38" t="s">
        <v>8912</v>
      </c>
      <c r="G478" s="38" t="s">
        <v>9324</v>
      </c>
      <c r="H478" s="38"/>
      <c r="I478" s="35" t="s">
        <v>10588</v>
      </c>
      <c r="J478" s="36" t="s">
        <v>425</v>
      </c>
    </row>
    <row r="479" spans="1:10" x14ac:dyDescent="0.25">
      <c r="A479" s="31" t="s">
        <v>426</v>
      </c>
      <c r="B479" s="31">
        <v>13.132999999999999</v>
      </c>
      <c r="C479" s="32" t="s">
        <v>10645</v>
      </c>
      <c r="D479" s="31" t="s">
        <v>10448</v>
      </c>
      <c r="E479" s="40" t="s">
        <v>10646</v>
      </c>
      <c r="F479" s="38" t="s">
        <v>8912</v>
      </c>
      <c r="G479" s="38" t="s">
        <v>9324</v>
      </c>
      <c r="H479" s="38"/>
      <c r="I479" s="35" t="s">
        <v>10588</v>
      </c>
      <c r="J479" s="36" t="s">
        <v>426</v>
      </c>
    </row>
    <row r="480" spans="1:10" x14ac:dyDescent="0.25">
      <c r="A480" s="31" t="s">
        <v>427</v>
      </c>
      <c r="B480" s="31">
        <v>13.133100000000001</v>
      </c>
      <c r="C480" s="32" t="s">
        <v>10647</v>
      </c>
      <c r="D480" s="31" t="s">
        <v>10448</v>
      </c>
      <c r="E480" s="40" t="s">
        <v>10648</v>
      </c>
      <c r="F480" s="38" t="s">
        <v>8912</v>
      </c>
      <c r="G480" s="38" t="s">
        <v>9324</v>
      </c>
      <c r="H480" s="38"/>
      <c r="I480" s="35" t="s">
        <v>10588</v>
      </c>
      <c r="J480" s="36" t="s">
        <v>427</v>
      </c>
    </row>
    <row r="481" spans="1:10" x14ac:dyDescent="0.25">
      <c r="A481" s="31" t="s">
        <v>428</v>
      </c>
      <c r="B481" s="31">
        <v>13.1332</v>
      </c>
      <c r="C481" s="32" t="s">
        <v>10649</v>
      </c>
      <c r="D481" s="31" t="s">
        <v>10448</v>
      </c>
      <c r="E481" s="40" t="s">
        <v>10650</v>
      </c>
      <c r="F481" s="38" t="s">
        <v>8912</v>
      </c>
      <c r="G481" s="38" t="s">
        <v>9324</v>
      </c>
      <c r="H481" s="38"/>
      <c r="I481" s="35" t="s">
        <v>10588</v>
      </c>
      <c r="J481" s="36" t="s">
        <v>428</v>
      </c>
    </row>
    <row r="482" spans="1:10" x14ac:dyDescent="0.25">
      <c r="A482" s="31" t="s">
        <v>429</v>
      </c>
      <c r="B482" s="31">
        <v>13.1333</v>
      </c>
      <c r="C482" s="32" t="s">
        <v>10651</v>
      </c>
      <c r="D482" s="31" t="s">
        <v>10448</v>
      </c>
      <c r="E482" s="40" t="s">
        <v>10652</v>
      </c>
      <c r="F482" s="38" t="s">
        <v>8912</v>
      </c>
      <c r="G482" s="38" t="s">
        <v>9324</v>
      </c>
      <c r="H482" s="38"/>
      <c r="I482" s="35" t="s">
        <v>10588</v>
      </c>
      <c r="J482" s="36" t="s">
        <v>429</v>
      </c>
    </row>
    <row r="483" spans="1:10" x14ac:dyDescent="0.25">
      <c r="A483" s="31" t="s">
        <v>430</v>
      </c>
      <c r="B483" s="31">
        <v>13.1334</v>
      </c>
      <c r="C483" s="32" t="s">
        <v>10653</v>
      </c>
      <c r="D483" s="31" t="s">
        <v>10448</v>
      </c>
      <c r="E483" s="40" t="s">
        <v>10654</v>
      </c>
      <c r="F483" s="38" t="s">
        <v>8912</v>
      </c>
      <c r="G483" s="38" t="s">
        <v>9324</v>
      </c>
      <c r="H483" s="38"/>
      <c r="I483" s="35" t="s">
        <v>10588</v>
      </c>
      <c r="J483" s="36" t="s">
        <v>430</v>
      </c>
    </row>
    <row r="484" spans="1:10" x14ac:dyDescent="0.25">
      <c r="A484" s="31" t="s">
        <v>431</v>
      </c>
      <c r="B484" s="31">
        <v>13.1335</v>
      </c>
      <c r="C484" s="32" t="s">
        <v>10655</v>
      </c>
      <c r="D484" s="31" t="s">
        <v>10448</v>
      </c>
      <c r="E484" s="40" t="s">
        <v>10656</v>
      </c>
      <c r="F484" s="38" t="s">
        <v>8912</v>
      </c>
      <c r="G484" s="38" t="s">
        <v>9324</v>
      </c>
      <c r="H484" s="38"/>
      <c r="I484" s="35" t="s">
        <v>10588</v>
      </c>
      <c r="J484" s="36" t="s">
        <v>431</v>
      </c>
    </row>
    <row r="485" spans="1:10" x14ac:dyDescent="0.25">
      <c r="A485" s="31" t="s">
        <v>432</v>
      </c>
      <c r="B485" s="31">
        <v>13.133699999999999</v>
      </c>
      <c r="C485" s="32" t="s">
        <v>10657</v>
      </c>
      <c r="D485" s="31" t="s">
        <v>10448</v>
      </c>
      <c r="E485" s="40" t="s">
        <v>10658</v>
      </c>
      <c r="F485" s="38" t="s">
        <v>8912</v>
      </c>
      <c r="G485" s="38" t="s">
        <v>9324</v>
      </c>
      <c r="H485" s="38"/>
      <c r="I485" s="35" t="s">
        <v>10588</v>
      </c>
      <c r="J485" s="36" t="s">
        <v>432</v>
      </c>
    </row>
    <row r="486" spans="1:10" x14ac:dyDescent="0.25">
      <c r="A486" s="31" t="s">
        <v>433</v>
      </c>
      <c r="B486" s="31">
        <v>13.133800000000001</v>
      </c>
      <c r="C486" s="32" t="s">
        <v>10659</v>
      </c>
      <c r="D486" s="31" t="s">
        <v>10448</v>
      </c>
      <c r="E486" s="40" t="s">
        <v>10660</v>
      </c>
      <c r="F486" s="38" t="s">
        <v>8912</v>
      </c>
      <c r="G486" s="38" t="s">
        <v>9324</v>
      </c>
      <c r="H486" s="38"/>
      <c r="I486" s="35" t="s">
        <v>10588</v>
      </c>
      <c r="J486" s="36" t="s">
        <v>433</v>
      </c>
    </row>
    <row r="487" spans="1:10" x14ac:dyDescent="0.25">
      <c r="A487" s="31" t="s">
        <v>1873</v>
      </c>
      <c r="B487" s="31">
        <v>13.133900000000001</v>
      </c>
      <c r="C487" s="32" t="s">
        <v>10661</v>
      </c>
      <c r="D487" s="31" t="s">
        <v>10448</v>
      </c>
      <c r="E487" s="40" t="s">
        <v>10662</v>
      </c>
      <c r="F487" s="38" t="s">
        <v>8912</v>
      </c>
      <c r="G487" s="38" t="s">
        <v>9324</v>
      </c>
      <c r="H487" s="38"/>
      <c r="I487" s="35" t="s">
        <v>10588</v>
      </c>
      <c r="J487" s="36" t="s">
        <v>1873</v>
      </c>
    </row>
    <row r="488" spans="1:10" x14ac:dyDescent="0.25">
      <c r="A488" s="31" t="s">
        <v>434</v>
      </c>
      <c r="B488" s="31">
        <v>13.139900000000001</v>
      </c>
      <c r="C488" s="32" t="s">
        <v>10663</v>
      </c>
      <c r="D488" s="31" t="s">
        <v>10448</v>
      </c>
      <c r="E488" s="40" t="s">
        <v>10664</v>
      </c>
      <c r="F488" s="38" t="s">
        <v>8912</v>
      </c>
      <c r="G488" s="38" t="s">
        <v>9324</v>
      </c>
      <c r="H488" s="38"/>
      <c r="I488" s="35" t="s">
        <v>10588</v>
      </c>
      <c r="J488" s="36" t="s">
        <v>434</v>
      </c>
    </row>
    <row r="489" spans="1:10" x14ac:dyDescent="0.25">
      <c r="A489" s="31" t="s">
        <v>435</v>
      </c>
      <c r="B489" s="31">
        <v>13.14</v>
      </c>
      <c r="C489" s="32" t="s">
        <v>10665</v>
      </c>
      <c r="D489" s="31" t="s">
        <v>10448</v>
      </c>
      <c r="E489" s="40" t="s">
        <v>9325</v>
      </c>
      <c r="F489" s="38" t="s">
        <v>8912</v>
      </c>
      <c r="G489" s="38" t="s">
        <v>9325</v>
      </c>
      <c r="H489" s="38" t="s">
        <v>9325</v>
      </c>
      <c r="I489" s="35" t="s">
        <v>10665</v>
      </c>
      <c r="J489" s="36" t="s">
        <v>435</v>
      </c>
    </row>
    <row r="490" spans="1:10" x14ac:dyDescent="0.25">
      <c r="A490" s="31" t="s">
        <v>436</v>
      </c>
      <c r="B490" s="31">
        <v>13.1401</v>
      </c>
      <c r="C490" s="32" t="s">
        <v>10666</v>
      </c>
      <c r="D490" s="31" t="s">
        <v>10448</v>
      </c>
      <c r="E490" s="40" t="s">
        <v>10667</v>
      </c>
      <c r="F490" s="38" t="s">
        <v>8912</v>
      </c>
      <c r="G490" s="38" t="s">
        <v>9325</v>
      </c>
      <c r="H490" s="38"/>
      <c r="I490" s="35" t="s">
        <v>10665</v>
      </c>
      <c r="J490" s="36" t="s">
        <v>436</v>
      </c>
    </row>
    <row r="491" spans="1:10" x14ac:dyDescent="0.25">
      <c r="A491" s="31" t="s">
        <v>437</v>
      </c>
      <c r="B491" s="31">
        <v>13.1402</v>
      </c>
      <c r="C491" s="32" t="s">
        <v>10668</v>
      </c>
      <c r="D491" s="31" t="s">
        <v>10448</v>
      </c>
      <c r="E491" s="40" t="s">
        <v>10669</v>
      </c>
      <c r="F491" s="38" t="s">
        <v>8912</v>
      </c>
      <c r="G491" s="38" t="s">
        <v>9325</v>
      </c>
      <c r="H491" s="38"/>
      <c r="I491" s="35" t="s">
        <v>10665</v>
      </c>
      <c r="J491" s="36" t="s">
        <v>437</v>
      </c>
    </row>
    <row r="492" spans="1:10" x14ac:dyDescent="0.25">
      <c r="A492" s="31" t="s">
        <v>438</v>
      </c>
      <c r="B492" s="31">
        <v>13.149900000000001</v>
      </c>
      <c r="C492" s="32" t="s">
        <v>10670</v>
      </c>
      <c r="D492" s="31" t="s">
        <v>10448</v>
      </c>
      <c r="E492" s="40" t="s">
        <v>10671</v>
      </c>
      <c r="F492" s="38" t="s">
        <v>8912</v>
      </c>
      <c r="G492" s="38" t="s">
        <v>9325</v>
      </c>
      <c r="H492" s="38"/>
      <c r="I492" s="35" t="s">
        <v>10665</v>
      </c>
      <c r="J492" s="36" t="s">
        <v>438</v>
      </c>
    </row>
    <row r="493" spans="1:10" x14ac:dyDescent="0.25">
      <c r="A493" s="31" t="s">
        <v>439</v>
      </c>
      <c r="B493" s="31">
        <v>13.15</v>
      </c>
      <c r="C493" s="32" t="s">
        <v>10672</v>
      </c>
      <c r="D493" s="31" t="s">
        <v>10448</v>
      </c>
      <c r="E493" s="40" t="s">
        <v>9326</v>
      </c>
      <c r="F493" s="38" t="s">
        <v>8912</v>
      </c>
      <c r="G493" s="38" t="s">
        <v>9326</v>
      </c>
      <c r="H493" s="38" t="s">
        <v>9326</v>
      </c>
      <c r="I493" s="35" t="s">
        <v>10672</v>
      </c>
      <c r="J493" s="36" t="s">
        <v>439</v>
      </c>
    </row>
    <row r="494" spans="1:10" x14ac:dyDescent="0.25">
      <c r="A494" s="31" t="s">
        <v>440</v>
      </c>
      <c r="B494" s="31">
        <v>13.1501</v>
      </c>
      <c r="C494" s="32" t="s">
        <v>10673</v>
      </c>
      <c r="D494" s="31" t="s">
        <v>10448</v>
      </c>
      <c r="E494" s="40" t="s">
        <v>10674</v>
      </c>
      <c r="F494" s="38" t="s">
        <v>8912</v>
      </c>
      <c r="G494" s="38" t="s">
        <v>9326</v>
      </c>
      <c r="H494" s="38"/>
      <c r="I494" s="35" t="s">
        <v>10672</v>
      </c>
      <c r="J494" s="36" t="s">
        <v>440</v>
      </c>
    </row>
    <row r="495" spans="1:10" x14ac:dyDescent="0.25">
      <c r="A495" s="31" t="s">
        <v>441</v>
      </c>
      <c r="B495" s="31">
        <v>13.1502</v>
      </c>
      <c r="C495" s="32" t="s">
        <v>10675</v>
      </c>
      <c r="D495" s="31" t="s">
        <v>10448</v>
      </c>
      <c r="E495" s="40" t="s">
        <v>10676</v>
      </c>
      <c r="F495" s="38" t="s">
        <v>8912</v>
      </c>
      <c r="G495" s="38" t="s">
        <v>9326</v>
      </c>
      <c r="H495" s="38"/>
      <c r="I495" s="35" t="s">
        <v>10672</v>
      </c>
      <c r="J495" s="36" t="s">
        <v>441</v>
      </c>
    </row>
    <row r="496" spans="1:10" x14ac:dyDescent="0.25">
      <c r="A496" s="31" t="s">
        <v>442</v>
      </c>
      <c r="B496" s="31">
        <v>13.1599</v>
      </c>
      <c r="C496" s="32" t="s">
        <v>10677</v>
      </c>
      <c r="D496" s="31" t="s">
        <v>10448</v>
      </c>
      <c r="E496" s="40" t="s">
        <v>10678</v>
      </c>
      <c r="F496" s="38" t="s">
        <v>8912</v>
      </c>
      <c r="G496" s="38" t="s">
        <v>9326</v>
      </c>
      <c r="H496" s="38"/>
      <c r="I496" s="35" t="s">
        <v>10672</v>
      </c>
      <c r="J496" s="36" t="s">
        <v>442</v>
      </c>
    </row>
    <row r="497" spans="1:10" x14ac:dyDescent="0.25">
      <c r="A497" s="31" t="s">
        <v>443</v>
      </c>
      <c r="B497" s="31">
        <v>13.99</v>
      </c>
      <c r="C497" s="32" t="s">
        <v>10679</v>
      </c>
      <c r="D497" s="31" t="s">
        <v>10448</v>
      </c>
      <c r="E497" s="40" t="s">
        <v>9327</v>
      </c>
      <c r="F497" s="38" t="s">
        <v>8912</v>
      </c>
      <c r="G497" s="38" t="s">
        <v>9327</v>
      </c>
      <c r="H497" s="38" t="s">
        <v>9327</v>
      </c>
      <c r="I497" s="35" t="s">
        <v>10679</v>
      </c>
      <c r="J497" s="36" t="s">
        <v>443</v>
      </c>
    </row>
    <row r="498" spans="1:10" x14ac:dyDescent="0.25">
      <c r="A498" s="31" t="s">
        <v>443</v>
      </c>
      <c r="B498" s="31">
        <v>13.9999</v>
      </c>
      <c r="C498" s="32" t="s">
        <v>10680</v>
      </c>
      <c r="D498" s="31" t="s">
        <v>10448</v>
      </c>
      <c r="E498" s="40" t="s">
        <v>10681</v>
      </c>
      <c r="F498" s="38" t="s">
        <v>8912</v>
      </c>
      <c r="G498" s="38" t="s">
        <v>9327</v>
      </c>
      <c r="H498" s="38"/>
      <c r="I498" s="35" t="s">
        <v>10679</v>
      </c>
      <c r="J498" s="36" t="s">
        <v>443</v>
      </c>
    </row>
    <row r="499" spans="1:10" x14ac:dyDescent="0.25">
      <c r="A499" s="31" t="s">
        <v>444</v>
      </c>
      <c r="B499" s="31">
        <v>14</v>
      </c>
      <c r="C499" s="32" t="s">
        <v>10682</v>
      </c>
      <c r="D499" s="31" t="s">
        <v>10682</v>
      </c>
      <c r="E499" s="40" t="s">
        <v>9328</v>
      </c>
      <c r="F499" s="38" t="s">
        <v>8922</v>
      </c>
      <c r="G499" s="38" t="s">
        <v>9328</v>
      </c>
      <c r="H499" s="38" t="s">
        <v>9328</v>
      </c>
      <c r="I499" s="35" t="s">
        <v>10682</v>
      </c>
      <c r="J499" s="36" t="s">
        <v>444</v>
      </c>
    </row>
    <row r="500" spans="1:10" x14ac:dyDescent="0.25">
      <c r="A500" s="31" t="s">
        <v>445</v>
      </c>
      <c r="B500" s="31">
        <v>14.01</v>
      </c>
      <c r="C500" s="32" t="s">
        <v>10683</v>
      </c>
      <c r="D500" s="31" t="s">
        <v>10682</v>
      </c>
      <c r="E500" s="40" t="s">
        <v>9329</v>
      </c>
      <c r="F500" s="38" t="s">
        <v>8922</v>
      </c>
      <c r="G500" s="38" t="s">
        <v>9329</v>
      </c>
      <c r="H500" s="38" t="s">
        <v>9329</v>
      </c>
      <c r="I500" s="35" t="s">
        <v>10683</v>
      </c>
      <c r="J500" s="36" t="s">
        <v>445</v>
      </c>
    </row>
    <row r="501" spans="1:10" x14ac:dyDescent="0.25">
      <c r="A501" s="31" t="s">
        <v>445</v>
      </c>
      <c r="B501" s="31">
        <v>14.0101</v>
      </c>
      <c r="C501" s="32" t="s">
        <v>10684</v>
      </c>
      <c r="D501" s="31" t="s">
        <v>10682</v>
      </c>
      <c r="E501" s="40" t="s">
        <v>10685</v>
      </c>
      <c r="F501" s="38" t="s">
        <v>8922</v>
      </c>
      <c r="G501" s="38" t="s">
        <v>9329</v>
      </c>
      <c r="H501" s="38"/>
      <c r="I501" s="35" t="s">
        <v>10683</v>
      </c>
      <c r="J501" s="36" t="s">
        <v>445</v>
      </c>
    </row>
    <row r="502" spans="1:10" x14ac:dyDescent="0.25">
      <c r="A502" s="31" t="s">
        <v>446</v>
      </c>
      <c r="B502" s="31">
        <v>14.010199999999999</v>
      </c>
      <c r="C502" s="32" t="s">
        <v>10686</v>
      </c>
      <c r="D502" s="31" t="s">
        <v>10682</v>
      </c>
      <c r="E502" s="40" t="s">
        <v>10687</v>
      </c>
      <c r="F502" s="38" t="s">
        <v>8922</v>
      </c>
      <c r="G502" s="38" t="s">
        <v>9329</v>
      </c>
      <c r="H502" s="38"/>
      <c r="I502" s="35" t="s">
        <v>10683</v>
      </c>
      <c r="J502" s="36" t="s">
        <v>446</v>
      </c>
    </row>
    <row r="503" spans="1:10" x14ac:dyDescent="0.25">
      <c r="A503" s="31" t="s">
        <v>1874</v>
      </c>
      <c r="B503" s="31">
        <v>14.010300000000001</v>
      </c>
      <c r="C503" s="32" t="s">
        <v>10688</v>
      </c>
      <c r="D503" s="31" t="s">
        <v>10682</v>
      </c>
      <c r="E503" s="40" t="s">
        <v>10689</v>
      </c>
      <c r="F503" s="38" t="s">
        <v>8922</v>
      </c>
      <c r="G503" s="38" t="s">
        <v>9329</v>
      </c>
      <c r="H503" s="38"/>
      <c r="I503" s="35" t="s">
        <v>10683</v>
      </c>
      <c r="J503" s="36" t="s">
        <v>1874</v>
      </c>
    </row>
    <row r="504" spans="1:10" x14ac:dyDescent="0.25">
      <c r="A504" s="31" t="s">
        <v>1875</v>
      </c>
      <c r="B504" s="31">
        <v>14.02</v>
      </c>
      <c r="C504" s="32" t="s">
        <v>10690</v>
      </c>
      <c r="D504" s="31" t="s">
        <v>10682</v>
      </c>
      <c r="E504" s="40" t="s">
        <v>9330</v>
      </c>
      <c r="F504" s="38" t="s">
        <v>8922</v>
      </c>
      <c r="G504" s="38" t="s">
        <v>9330</v>
      </c>
      <c r="H504" s="38" t="s">
        <v>9330</v>
      </c>
      <c r="I504" s="35" t="s">
        <v>10690</v>
      </c>
      <c r="J504" s="36" t="s">
        <v>1875</v>
      </c>
    </row>
    <row r="505" spans="1:10" x14ac:dyDescent="0.25">
      <c r="A505" s="31" t="s">
        <v>1876</v>
      </c>
      <c r="B505" s="31">
        <v>14.020099999999999</v>
      </c>
      <c r="C505" s="32" t="s">
        <v>10691</v>
      </c>
      <c r="D505" s="31" t="s">
        <v>10682</v>
      </c>
      <c r="E505" s="40" t="s">
        <v>10692</v>
      </c>
      <c r="F505" s="38" t="s">
        <v>8922</v>
      </c>
      <c r="G505" s="38" t="s">
        <v>9330</v>
      </c>
      <c r="H505" s="38"/>
      <c r="I505" s="35" t="s">
        <v>10690</v>
      </c>
      <c r="J505" s="36" t="s">
        <v>1876</v>
      </c>
    </row>
    <row r="506" spans="1:10" x14ac:dyDescent="0.25">
      <c r="A506" s="31" t="s">
        <v>1877</v>
      </c>
      <c r="B506" s="31">
        <v>14.020200000000001</v>
      </c>
      <c r="C506" s="32" t="s">
        <v>10693</v>
      </c>
      <c r="D506" s="31" t="s">
        <v>10682</v>
      </c>
      <c r="E506" s="40" t="s">
        <v>10694</v>
      </c>
      <c r="F506" s="38" t="s">
        <v>8922</v>
      </c>
      <c r="G506" s="38" t="s">
        <v>9330</v>
      </c>
      <c r="I506" s="35" t="s">
        <v>10690</v>
      </c>
      <c r="J506" s="36" t="s">
        <v>1877</v>
      </c>
    </row>
    <row r="507" spans="1:10" x14ac:dyDescent="0.25">
      <c r="A507" s="31" t="s">
        <v>1878</v>
      </c>
      <c r="B507" s="31">
        <v>14.0299</v>
      </c>
      <c r="C507" s="32" t="s">
        <v>10695</v>
      </c>
      <c r="D507" s="31" t="s">
        <v>10682</v>
      </c>
      <c r="E507" s="40" t="s">
        <v>10696</v>
      </c>
      <c r="F507" s="38" t="s">
        <v>8922</v>
      </c>
      <c r="G507" s="38" t="s">
        <v>9330</v>
      </c>
      <c r="I507" s="35" t="s">
        <v>10690</v>
      </c>
      <c r="J507" s="36" t="s">
        <v>1878</v>
      </c>
    </row>
    <row r="508" spans="1:10" x14ac:dyDescent="0.25">
      <c r="A508" s="31" t="s">
        <v>447</v>
      </c>
      <c r="B508" s="31">
        <v>14.03</v>
      </c>
      <c r="C508" s="32" t="s">
        <v>10697</v>
      </c>
      <c r="D508" s="31" t="s">
        <v>10682</v>
      </c>
      <c r="E508" s="40" t="s">
        <v>9331</v>
      </c>
      <c r="F508" s="38" t="s">
        <v>8922</v>
      </c>
      <c r="G508" s="34" t="s">
        <v>9331</v>
      </c>
      <c r="H508" s="34" t="s">
        <v>9331</v>
      </c>
      <c r="I508" s="35" t="s">
        <v>10697</v>
      </c>
      <c r="J508" s="36" t="s">
        <v>447</v>
      </c>
    </row>
    <row r="509" spans="1:10" x14ac:dyDescent="0.25">
      <c r="A509" s="31" t="s">
        <v>447</v>
      </c>
      <c r="B509" s="31">
        <v>14.030099999999999</v>
      </c>
      <c r="C509" s="32" t="s">
        <v>10698</v>
      </c>
      <c r="D509" s="31" t="s">
        <v>10682</v>
      </c>
      <c r="E509" s="40" t="s">
        <v>10699</v>
      </c>
      <c r="F509" s="38" t="s">
        <v>8922</v>
      </c>
      <c r="G509" s="34" t="s">
        <v>9331</v>
      </c>
      <c r="I509" s="35" t="s">
        <v>10697</v>
      </c>
      <c r="J509" s="36" t="s">
        <v>447</v>
      </c>
    </row>
    <row r="510" spans="1:10" x14ac:dyDescent="0.25">
      <c r="A510" s="31" t="s">
        <v>448</v>
      </c>
      <c r="B510" s="31">
        <v>14.04</v>
      </c>
      <c r="C510" s="32" t="s">
        <v>10700</v>
      </c>
      <c r="D510" s="31" t="s">
        <v>10682</v>
      </c>
      <c r="E510" s="40" t="s">
        <v>9332</v>
      </c>
      <c r="F510" s="38" t="s">
        <v>8922</v>
      </c>
      <c r="G510" s="34" t="s">
        <v>9332</v>
      </c>
      <c r="H510" s="34" t="s">
        <v>9332</v>
      </c>
      <c r="I510" s="35" t="s">
        <v>10700</v>
      </c>
      <c r="J510" s="36" t="s">
        <v>448</v>
      </c>
    </row>
    <row r="511" spans="1:10" x14ac:dyDescent="0.25">
      <c r="A511" s="31" t="s">
        <v>448</v>
      </c>
      <c r="B511" s="31">
        <v>14.040100000000001</v>
      </c>
      <c r="C511" s="32" t="s">
        <v>10701</v>
      </c>
      <c r="D511" s="31" t="s">
        <v>10682</v>
      </c>
      <c r="E511" s="40" t="s">
        <v>10702</v>
      </c>
      <c r="F511" s="38" t="s">
        <v>8922</v>
      </c>
      <c r="G511" s="34" t="s">
        <v>9332</v>
      </c>
      <c r="I511" s="35" t="s">
        <v>10700</v>
      </c>
      <c r="J511" s="36" t="s">
        <v>448</v>
      </c>
    </row>
    <row r="512" spans="1:10" x14ac:dyDescent="0.25">
      <c r="A512" s="31" t="s">
        <v>449</v>
      </c>
      <c r="B512" s="31">
        <v>14.05</v>
      </c>
      <c r="C512" s="32" t="s">
        <v>10703</v>
      </c>
      <c r="D512" s="31" t="s">
        <v>10682</v>
      </c>
      <c r="E512" s="40" t="s">
        <v>9333</v>
      </c>
      <c r="F512" s="38" t="s">
        <v>8922</v>
      </c>
      <c r="G512" s="34" t="s">
        <v>9333</v>
      </c>
      <c r="H512" s="34" t="s">
        <v>9333</v>
      </c>
      <c r="I512" s="35" t="s">
        <v>10703</v>
      </c>
      <c r="J512" s="36" t="s">
        <v>449</v>
      </c>
    </row>
    <row r="513" spans="1:10" x14ac:dyDescent="0.25">
      <c r="A513" s="31" t="s">
        <v>1879</v>
      </c>
      <c r="B513" s="31">
        <v>14.0501</v>
      </c>
      <c r="C513" s="32" t="s">
        <v>10704</v>
      </c>
      <c r="D513" s="31" t="s">
        <v>10682</v>
      </c>
      <c r="E513" s="40" t="s">
        <v>10705</v>
      </c>
      <c r="F513" s="38" t="s">
        <v>8922</v>
      </c>
      <c r="G513" s="34" t="s">
        <v>9333</v>
      </c>
      <c r="I513" s="35" t="s">
        <v>10703</v>
      </c>
      <c r="J513" s="36" t="s">
        <v>1879</v>
      </c>
    </row>
    <row r="514" spans="1:10" x14ac:dyDescent="0.25">
      <c r="A514" s="31" t="s">
        <v>450</v>
      </c>
      <c r="B514" s="31">
        <v>14.06</v>
      </c>
      <c r="C514" s="32" t="s">
        <v>10706</v>
      </c>
      <c r="D514" s="31" t="s">
        <v>10682</v>
      </c>
      <c r="E514" s="40" t="s">
        <v>9334</v>
      </c>
      <c r="F514" s="38" t="s">
        <v>8922</v>
      </c>
      <c r="G514" s="34" t="s">
        <v>9334</v>
      </c>
      <c r="H514" s="34" t="s">
        <v>9334</v>
      </c>
      <c r="I514" s="35" t="s">
        <v>10706</v>
      </c>
      <c r="J514" s="36" t="s">
        <v>450</v>
      </c>
    </row>
    <row r="515" spans="1:10" x14ac:dyDescent="0.25">
      <c r="A515" s="31" t="s">
        <v>450</v>
      </c>
      <c r="B515" s="31">
        <v>14.0601</v>
      </c>
      <c r="C515" s="32" t="s">
        <v>10707</v>
      </c>
      <c r="D515" s="31" t="s">
        <v>10682</v>
      </c>
      <c r="E515" s="40" t="s">
        <v>10708</v>
      </c>
      <c r="F515" s="38" t="s">
        <v>8922</v>
      </c>
      <c r="G515" s="34" t="s">
        <v>9334</v>
      </c>
      <c r="I515" s="35" t="s">
        <v>10706</v>
      </c>
      <c r="J515" s="36" t="s">
        <v>450</v>
      </c>
    </row>
    <row r="516" spans="1:10" x14ac:dyDescent="0.25">
      <c r="A516" s="31" t="s">
        <v>451</v>
      </c>
      <c r="B516" s="31">
        <v>14.07</v>
      </c>
      <c r="C516" s="32" t="s">
        <v>10709</v>
      </c>
      <c r="D516" s="31" t="s">
        <v>10682</v>
      </c>
      <c r="E516" s="40" t="s">
        <v>9335</v>
      </c>
      <c r="F516" s="38" t="s">
        <v>8922</v>
      </c>
      <c r="G516" s="34" t="s">
        <v>9335</v>
      </c>
      <c r="H516" s="34" t="s">
        <v>9335</v>
      </c>
      <c r="I516" s="35" t="s">
        <v>10709</v>
      </c>
      <c r="J516" s="36" t="s">
        <v>451</v>
      </c>
    </row>
    <row r="517" spans="1:10" x14ac:dyDescent="0.25">
      <c r="A517" s="31" t="s">
        <v>451</v>
      </c>
      <c r="B517" s="31">
        <v>14.0701</v>
      </c>
      <c r="C517" s="32" t="s">
        <v>10710</v>
      </c>
      <c r="D517" s="31" t="s">
        <v>10682</v>
      </c>
      <c r="E517" s="40" t="s">
        <v>10711</v>
      </c>
      <c r="F517" s="38" t="s">
        <v>8922</v>
      </c>
      <c r="G517" s="34" t="s">
        <v>9335</v>
      </c>
      <c r="I517" s="35" t="s">
        <v>10709</v>
      </c>
      <c r="J517" s="36" t="s">
        <v>451</v>
      </c>
    </row>
    <row r="518" spans="1:10" x14ac:dyDescent="0.25">
      <c r="A518" s="31" t="s">
        <v>452</v>
      </c>
      <c r="B518" s="31">
        <v>14.0702</v>
      </c>
      <c r="C518" s="32" t="s">
        <v>10712</v>
      </c>
      <c r="D518" s="31" t="s">
        <v>10682</v>
      </c>
      <c r="E518" s="40" t="s">
        <v>10713</v>
      </c>
      <c r="F518" s="38" t="s">
        <v>8922</v>
      </c>
      <c r="G518" s="34" t="s">
        <v>9335</v>
      </c>
      <c r="I518" s="35" t="s">
        <v>10709</v>
      </c>
      <c r="J518" s="36" t="s">
        <v>452</v>
      </c>
    </row>
    <row r="519" spans="1:10" x14ac:dyDescent="0.25">
      <c r="A519" s="31" t="s">
        <v>453</v>
      </c>
      <c r="B519" s="31">
        <v>14.0799</v>
      </c>
      <c r="C519" s="32" t="s">
        <v>10714</v>
      </c>
      <c r="D519" s="31" t="s">
        <v>10682</v>
      </c>
      <c r="E519" s="40" t="s">
        <v>10715</v>
      </c>
      <c r="F519" s="38" t="s">
        <v>8922</v>
      </c>
      <c r="G519" s="34" t="s">
        <v>9335</v>
      </c>
      <c r="I519" s="35" t="s">
        <v>10709</v>
      </c>
      <c r="J519" s="36" t="s">
        <v>453</v>
      </c>
    </row>
    <row r="520" spans="1:10" x14ac:dyDescent="0.25">
      <c r="A520" s="31" t="s">
        <v>454</v>
      </c>
      <c r="B520" s="31">
        <v>14.08</v>
      </c>
      <c r="C520" s="32" t="s">
        <v>10716</v>
      </c>
      <c r="D520" s="31" t="s">
        <v>10682</v>
      </c>
      <c r="E520" s="40" t="s">
        <v>9336</v>
      </c>
      <c r="F520" s="38" t="s">
        <v>8922</v>
      </c>
      <c r="G520" s="34" t="s">
        <v>9336</v>
      </c>
      <c r="H520" s="34" t="s">
        <v>9336</v>
      </c>
      <c r="I520" s="35" t="s">
        <v>10716</v>
      </c>
      <c r="J520" s="36" t="s">
        <v>454</v>
      </c>
    </row>
    <row r="521" spans="1:10" x14ac:dyDescent="0.25">
      <c r="A521" s="31" t="s">
        <v>455</v>
      </c>
      <c r="B521" s="31">
        <v>14.0801</v>
      </c>
      <c r="C521" s="32" t="s">
        <v>10717</v>
      </c>
      <c r="D521" s="31" t="s">
        <v>10682</v>
      </c>
      <c r="E521" s="40" t="s">
        <v>10718</v>
      </c>
      <c r="F521" s="38" t="s">
        <v>8922</v>
      </c>
      <c r="G521" s="34" t="s">
        <v>9336</v>
      </c>
      <c r="I521" s="35" t="s">
        <v>10716</v>
      </c>
      <c r="J521" s="36" t="s">
        <v>455</v>
      </c>
    </row>
    <row r="522" spans="1:10" x14ac:dyDescent="0.25">
      <c r="A522" s="31" t="s">
        <v>456</v>
      </c>
      <c r="B522" s="31">
        <v>14.0802</v>
      </c>
      <c r="C522" s="32" t="s">
        <v>10719</v>
      </c>
      <c r="D522" s="31" t="s">
        <v>10682</v>
      </c>
      <c r="E522" s="40" t="s">
        <v>10720</v>
      </c>
      <c r="F522" s="38" t="s">
        <v>8922</v>
      </c>
      <c r="G522" s="34" t="s">
        <v>9336</v>
      </c>
      <c r="I522" s="35" t="s">
        <v>10716</v>
      </c>
      <c r="J522" s="36" t="s">
        <v>456</v>
      </c>
    </row>
    <row r="523" spans="1:10" x14ac:dyDescent="0.25">
      <c r="A523" s="31" t="s">
        <v>457</v>
      </c>
      <c r="B523" s="31">
        <v>14.080299999999999</v>
      </c>
      <c r="C523" s="32" t="s">
        <v>10721</v>
      </c>
      <c r="D523" s="31" t="s">
        <v>10682</v>
      </c>
      <c r="E523" s="40" t="s">
        <v>10722</v>
      </c>
      <c r="F523" s="38" t="s">
        <v>8922</v>
      </c>
      <c r="G523" s="34" t="s">
        <v>9336</v>
      </c>
      <c r="I523" s="35" t="s">
        <v>10716</v>
      </c>
      <c r="J523" s="36" t="s">
        <v>457</v>
      </c>
    </row>
    <row r="524" spans="1:10" x14ac:dyDescent="0.25">
      <c r="A524" s="31" t="s">
        <v>458</v>
      </c>
      <c r="B524" s="31">
        <v>14.080399999999999</v>
      </c>
      <c r="C524" s="32" t="s">
        <v>10723</v>
      </c>
      <c r="D524" s="31" t="s">
        <v>10682</v>
      </c>
      <c r="E524" s="40" t="s">
        <v>10724</v>
      </c>
      <c r="F524" s="38" t="s">
        <v>8922</v>
      </c>
      <c r="G524" s="34" t="s">
        <v>9336</v>
      </c>
      <c r="I524" s="35" t="s">
        <v>10716</v>
      </c>
      <c r="J524" s="36" t="s">
        <v>458</v>
      </c>
    </row>
    <row r="525" spans="1:10" x14ac:dyDescent="0.25">
      <c r="A525" s="31" t="s">
        <v>459</v>
      </c>
      <c r="B525" s="31">
        <v>14.080500000000001</v>
      </c>
      <c r="C525" s="32" t="s">
        <v>10725</v>
      </c>
      <c r="D525" s="31" t="s">
        <v>10682</v>
      </c>
      <c r="E525" s="40" t="s">
        <v>10726</v>
      </c>
      <c r="F525" s="38" t="s">
        <v>8922</v>
      </c>
      <c r="G525" s="34" t="s">
        <v>9336</v>
      </c>
      <c r="I525" s="35" t="s">
        <v>10716</v>
      </c>
      <c r="J525" s="36" t="s">
        <v>459</v>
      </c>
    </row>
    <row r="526" spans="1:10" x14ac:dyDescent="0.25">
      <c r="A526" s="31" t="s">
        <v>460</v>
      </c>
      <c r="B526" s="31">
        <v>14.0899</v>
      </c>
      <c r="C526" s="32" t="s">
        <v>10727</v>
      </c>
      <c r="D526" s="31" t="s">
        <v>10682</v>
      </c>
      <c r="E526" s="40" t="s">
        <v>10728</v>
      </c>
      <c r="F526" s="38" t="s">
        <v>8922</v>
      </c>
      <c r="G526" s="34" t="s">
        <v>9336</v>
      </c>
      <c r="I526" s="35" t="s">
        <v>10716</v>
      </c>
      <c r="J526" s="36" t="s">
        <v>460</v>
      </c>
    </row>
    <row r="527" spans="1:10" x14ac:dyDescent="0.25">
      <c r="A527" s="31" t="s">
        <v>461</v>
      </c>
      <c r="B527" s="31">
        <v>14.09</v>
      </c>
      <c r="C527" s="32" t="s">
        <v>10729</v>
      </c>
      <c r="D527" s="31" t="s">
        <v>10682</v>
      </c>
      <c r="E527" s="40" t="s">
        <v>9337</v>
      </c>
      <c r="F527" s="38" t="s">
        <v>8922</v>
      </c>
      <c r="G527" s="34" t="s">
        <v>9337</v>
      </c>
      <c r="H527" s="34" t="s">
        <v>9337</v>
      </c>
      <c r="I527" s="35" t="s">
        <v>10729</v>
      </c>
      <c r="J527" s="36" t="s">
        <v>461</v>
      </c>
    </row>
    <row r="528" spans="1:10" x14ac:dyDescent="0.25">
      <c r="A528" s="31" t="s">
        <v>462</v>
      </c>
      <c r="B528" s="31">
        <v>14.0901</v>
      </c>
      <c r="C528" s="32" t="s">
        <v>10730</v>
      </c>
      <c r="D528" s="31" t="s">
        <v>10682</v>
      </c>
      <c r="E528" s="40" t="s">
        <v>10731</v>
      </c>
      <c r="F528" s="38" t="s">
        <v>8922</v>
      </c>
      <c r="G528" s="34" t="s">
        <v>9337</v>
      </c>
      <c r="I528" s="35" t="s">
        <v>10729</v>
      </c>
      <c r="J528" s="36" t="s">
        <v>462</v>
      </c>
    </row>
    <row r="529" spans="1:10" x14ac:dyDescent="0.25">
      <c r="A529" s="31" t="s">
        <v>463</v>
      </c>
      <c r="B529" s="31">
        <v>14.090199999999999</v>
      </c>
      <c r="C529" s="32" t="s">
        <v>10732</v>
      </c>
      <c r="D529" s="31" t="s">
        <v>10682</v>
      </c>
      <c r="E529" s="40" t="s">
        <v>10733</v>
      </c>
      <c r="F529" s="38" t="s">
        <v>8922</v>
      </c>
      <c r="G529" s="34" t="s">
        <v>9337</v>
      </c>
      <c r="I529" s="35" t="s">
        <v>10729</v>
      </c>
      <c r="J529" s="36" t="s">
        <v>463</v>
      </c>
    </row>
    <row r="530" spans="1:10" x14ac:dyDescent="0.25">
      <c r="A530" s="31" t="s">
        <v>464</v>
      </c>
      <c r="B530" s="31">
        <v>14.090299999999999</v>
      </c>
      <c r="C530" s="32" t="s">
        <v>10734</v>
      </c>
      <c r="D530" s="31" t="s">
        <v>10682</v>
      </c>
      <c r="E530" s="40" t="s">
        <v>10735</v>
      </c>
      <c r="F530" s="38" t="s">
        <v>8922</v>
      </c>
      <c r="G530" s="34" t="s">
        <v>9337</v>
      </c>
      <c r="I530" s="35" t="s">
        <v>10729</v>
      </c>
      <c r="J530" s="36" t="s">
        <v>464</v>
      </c>
    </row>
    <row r="531" spans="1:10" x14ac:dyDescent="0.25">
      <c r="A531" s="31" t="s">
        <v>465</v>
      </c>
      <c r="B531" s="31">
        <v>14.0999</v>
      </c>
      <c r="C531" s="32" t="s">
        <v>10736</v>
      </c>
      <c r="D531" s="31" t="s">
        <v>10682</v>
      </c>
      <c r="E531" s="40" t="s">
        <v>10737</v>
      </c>
      <c r="F531" s="38" t="s">
        <v>8922</v>
      </c>
      <c r="G531" s="34" t="s">
        <v>9337</v>
      </c>
      <c r="I531" s="35" t="s">
        <v>10729</v>
      </c>
      <c r="J531" s="36" t="s">
        <v>465</v>
      </c>
    </row>
    <row r="532" spans="1:10" x14ac:dyDescent="0.25">
      <c r="A532" s="31" t="s">
        <v>1880</v>
      </c>
      <c r="B532" s="31">
        <v>14.1</v>
      </c>
      <c r="C532" s="32" t="s">
        <v>10738</v>
      </c>
      <c r="D532" s="31" t="s">
        <v>10682</v>
      </c>
      <c r="E532" s="40" t="s">
        <v>9338</v>
      </c>
      <c r="F532" s="38" t="s">
        <v>8922</v>
      </c>
      <c r="G532" s="34" t="s">
        <v>9338</v>
      </c>
      <c r="H532" s="34" t="s">
        <v>9338</v>
      </c>
      <c r="I532" s="35" t="s">
        <v>10738</v>
      </c>
      <c r="J532" s="36" t="s">
        <v>1880</v>
      </c>
    </row>
    <row r="533" spans="1:10" x14ac:dyDescent="0.25">
      <c r="A533" s="31" t="s">
        <v>1881</v>
      </c>
      <c r="B533" s="31">
        <v>14.100099999999999</v>
      </c>
      <c r="C533" s="32" t="s">
        <v>10739</v>
      </c>
      <c r="D533" s="31" t="s">
        <v>10682</v>
      </c>
      <c r="E533" s="40" t="s">
        <v>10740</v>
      </c>
      <c r="F533" s="38" t="s">
        <v>8922</v>
      </c>
      <c r="G533" s="34" t="s">
        <v>9338</v>
      </c>
      <c r="I533" s="35" t="s">
        <v>10738</v>
      </c>
      <c r="J533" s="36" t="s">
        <v>1881</v>
      </c>
    </row>
    <row r="534" spans="1:10" x14ac:dyDescent="0.25">
      <c r="A534" s="31" t="s">
        <v>466</v>
      </c>
      <c r="B534" s="31">
        <v>14.100300000000001</v>
      </c>
      <c r="C534" s="32" t="s">
        <v>10741</v>
      </c>
      <c r="D534" s="31" t="s">
        <v>10682</v>
      </c>
      <c r="E534" s="40" t="s">
        <v>10742</v>
      </c>
      <c r="F534" s="38" t="s">
        <v>8922</v>
      </c>
      <c r="G534" s="34" t="s">
        <v>9338</v>
      </c>
      <c r="I534" s="35" t="s">
        <v>10738</v>
      </c>
      <c r="J534" s="36" t="s">
        <v>466</v>
      </c>
    </row>
    <row r="535" spans="1:10" x14ac:dyDescent="0.25">
      <c r="A535" s="31" t="s">
        <v>467</v>
      </c>
      <c r="B535" s="31">
        <v>14.1004</v>
      </c>
      <c r="C535" s="32" t="s">
        <v>10743</v>
      </c>
      <c r="D535" s="31" t="s">
        <v>10682</v>
      </c>
      <c r="E535" s="40" t="s">
        <v>10744</v>
      </c>
      <c r="F535" s="38" t="s">
        <v>8922</v>
      </c>
      <c r="G535" s="34" t="s">
        <v>9338</v>
      </c>
      <c r="I535" s="35" t="s">
        <v>10738</v>
      </c>
      <c r="J535" s="36" t="s">
        <v>467</v>
      </c>
    </row>
    <row r="536" spans="1:10" x14ac:dyDescent="0.25">
      <c r="A536" s="31" t="s">
        <v>1882</v>
      </c>
      <c r="B536" s="31">
        <v>14.1099</v>
      </c>
      <c r="C536" s="32" t="s">
        <v>10745</v>
      </c>
      <c r="D536" s="31" t="s">
        <v>10682</v>
      </c>
      <c r="E536" s="40" t="s">
        <v>10746</v>
      </c>
      <c r="F536" s="38" t="s">
        <v>8922</v>
      </c>
      <c r="G536" s="34" t="s">
        <v>9338</v>
      </c>
      <c r="I536" s="35" t="s">
        <v>10738</v>
      </c>
      <c r="J536" s="36" t="s">
        <v>1882</v>
      </c>
    </row>
    <row r="537" spans="1:10" x14ac:dyDescent="0.25">
      <c r="A537" s="31" t="s">
        <v>468</v>
      </c>
      <c r="B537" s="31">
        <v>14.11</v>
      </c>
      <c r="C537" s="32" t="s">
        <v>10747</v>
      </c>
      <c r="D537" s="31" t="s">
        <v>10682</v>
      </c>
      <c r="E537" s="40" t="s">
        <v>9339</v>
      </c>
      <c r="F537" s="38" t="s">
        <v>8922</v>
      </c>
      <c r="G537" s="34" t="s">
        <v>9339</v>
      </c>
      <c r="H537" s="34" t="s">
        <v>9339</v>
      </c>
      <c r="I537" s="35" t="s">
        <v>10747</v>
      </c>
      <c r="J537" s="36" t="s">
        <v>468</v>
      </c>
    </row>
    <row r="538" spans="1:10" x14ac:dyDescent="0.25">
      <c r="A538" s="31" t="s">
        <v>468</v>
      </c>
      <c r="B538" s="31">
        <v>14.110099999999999</v>
      </c>
      <c r="C538" s="32" t="s">
        <v>10748</v>
      </c>
      <c r="D538" s="31" t="s">
        <v>10682</v>
      </c>
      <c r="E538" s="40" t="s">
        <v>10749</v>
      </c>
      <c r="F538" s="38" t="s">
        <v>8922</v>
      </c>
      <c r="G538" s="34" t="s">
        <v>9339</v>
      </c>
      <c r="I538" s="35" t="s">
        <v>10747</v>
      </c>
      <c r="J538" s="36" t="s">
        <v>468</v>
      </c>
    </row>
    <row r="539" spans="1:10" x14ac:dyDescent="0.25">
      <c r="A539" s="31" t="s">
        <v>469</v>
      </c>
      <c r="B539" s="31">
        <v>14.12</v>
      </c>
      <c r="C539" s="32" t="s">
        <v>10750</v>
      </c>
      <c r="D539" s="31" t="s">
        <v>10682</v>
      </c>
      <c r="E539" s="40" t="s">
        <v>9340</v>
      </c>
      <c r="F539" s="38" t="s">
        <v>8922</v>
      </c>
      <c r="G539" s="34" t="s">
        <v>9340</v>
      </c>
      <c r="H539" s="34" t="s">
        <v>9340</v>
      </c>
      <c r="I539" s="35" t="s">
        <v>10750</v>
      </c>
      <c r="J539" s="36" t="s">
        <v>469</v>
      </c>
    </row>
    <row r="540" spans="1:10" x14ac:dyDescent="0.25">
      <c r="A540" s="31" t="s">
        <v>1883</v>
      </c>
      <c r="B540" s="31">
        <v>14.120100000000001</v>
      </c>
      <c r="C540" s="32" t="s">
        <v>10751</v>
      </c>
      <c r="D540" s="31" t="s">
        <v>10682</v>
      </c>
      <c r="E540" s="40" t="s">
        <v>10752</v>
      </c>
      <c r="F540" s="38" t="s">
        <v>8922</v>
      </c>
      <c r="G540" s="34" t="s">
        <v>9340</v>
      </c>
      <c r="I540" s="35" t="s">
        <v>10750</v>
      </c>
      <c r="J540" s="36" t="s">
        <v>1883</v>
      </c>
    </row>
    <row r="541" spans="1:10" x14ac:dyDescent="0.25">
      <c r="A541" s="31" t="s">
        <v>470</v>
      </c>
      <c r="B541" s="31">
        <v>14.13</v>
      </c>
      <c r="C541" s="32" t="s">
        <v>10753</v>
      </c>
      <c r="D541" s="31" t="s">
        <v>10682</v>
      </c>
      <c r="E541" s="40" t="s">
        <v>9341</v>
      </c>
      <c r="F541" s="38" t="s">
        <v>8922</v>
      </c>
      <c r="G541" s="34" t="s">
        <v>9341</v>
      </c>
      <c r="H541" s="34" t="s">
        <v>9341</v>
      </c>
      <c r="I541" s="35" t="s">
        <v>10753</v>
      </c>
      <c r="J541" s="36" t="s">
        <v>470</v>
      </c>
    </row>
    <row r="542" spans="1:10" x14ac:dyDescent="0.25">
      <c r="A542" s="31" t="s">
        <v>470</v>
      </c>
      <c r="B542" s="31">
        <v>14.130100000000001</v>
      </c>
      <c r="C542" s="32" t="s">
        <v>10754</v>
      </c>
      <c r="D542" s="31" t="s">
        <v>10682</v>
      </c>
      <c r="E542" s="40" t="s">
        <v>10755</v>
      </c>
      <c r="F542" s="38" t="s">
        <v>8922</v>
      </c>
      <c r="G542" s="34" t="s">
        <v>9341</v>
      </c>
      <c r="I542" s="35" t="s">
        <v>10753</v>
      </c>
      <c r="J542" s="36" t="s">
        <v>470</v>
      </c>
    </row>
    <row r="543" spans="1:10" x14ac:dyDescent="0.25">
      <c r="A543" s="31" t="s">
        <v>471</v>
      </c>
      <c r="B543" s="31">
        <v>14.14</v>
      </c>
      <c r="C543" s="32" t="s">
        <v>10756</v>
      </c>
      <c r="D543" s="31" t="s">
        <v>10682</v>
      </c>
      <c r="E543" s="40" t="s">
        <v>9342</v>
      </c>
      <c r="F543" s="38" t="s">
        <v>8922</v>
      </c>
      <c r="G543" s="34" t="s">
        <v>9342</v>
      </c>
      <c r="H543" s="34" t="s">
        <v>9342</v>
      </c>
      <c r="I543" s="35" t="s">
        <v>10756</v>
      </c>
      <c r="J543" s="36" t="s">
        <v>471</v>
      </c>
    </row>
    <row r="544" spans="1:10" x14ac:dyDescent="0.25">
      <c r="A544" s="31" t="s">
        <v>471</v>
      </c>
      <c r="B544" s="31">
        <v>14.1401</v>
      </c>
      <c r="C544" s="32" t="s">
        <v>10757</v>
      </c>
      <c r="D544" s="31" t="s">
        <v>10682</v>
      </c>
      <c r="E544" s="40" t="s">
        <v>10758</v>
      </c>
      <c r="F544" s="38" t="s">
        <v>8922</v>
      </c>
      <c r="G544" s="34" t="s">
        <v>9342</v>
      </c>
      <c r="I544" s="35" t="s">
        <v>10756</v>
      </c>
      <c r="J544" s="36" t="s">
        <v>471</v>
      </c>
    </row>
    <row r="545" spans="1:10" x14ac:dyDescent="0.25">
      <c r="A545" s="31" t="s">
        <v>1884</v>
      </c>
      <c r="B545" s="31">
        <v>14.18</v>
      </c>
      <c r="C545" s="32" t="s">
        <v>10759</v>
      </c>
      <c r="D545" s="31" t="s">
        <v>10682</v>
      </c>
      <c r="E545" s="40" t="s">
        <v>9343</v>
      </c>
      <c r="F545" s="38" t="s">
        <v>8922</v>
      </c>
      <c r="G545" s="34" t="s">
        <v>9343</v>
      </c>
      <c r="H545" s="34" t="s">
        <v>9343</v>
      </c>
      <c r="I545" s="35" t="s">
        <v>10759</v>
      </c>
      <c r="J545" s="36" t="s">
        <v>1884</v>
      </c>
    </row>
    <row r="546" spans="1:10" x14ac:dyDescent="0.25">
      <c r="A546" s="31" t="s">
        <v>1884</v>
      </c>
      <c r="B546" s="31">
        <v>14.180099999999999</v>
      </c>
      <c r="C546" s="32" t="s">
        <v>10760</v>
      </c>
      <c r="D546" s="31" t="s">
        <v>10682</v>
      </c>
      <c r="E546" s="40" t="s">
        <v>10761</v>
      </c>
      <c r="F546" s="38" t="s">
        <v>8922</v>
      </c>
      <c r="G546" s="34" t="s">
        <v>9343</v>
      </c>
      <c r="I546" s="35" t="s">
        <v>10759</v>
      </c>
      <c r="J546" s="36" t="s">
        <v>1884</v>
      </c>
    </row>
    <row r="547" spans="1:10" x14ac:dyDescent="0.25">
      <c r="A547" s="31" t="s">
        <v>472</v>
      </c>
      <c r="B547" s="31">
        <v>14.19</v>
      </c>
      <c r="C547" s="32" t="s">
        <v>10762</v>
      </c>
      <c r="D547" s="31" t="s">
        <v>10682</v>
      </c>
      <c r="E547" s="40" t="s">
        <v>9344</v>
      </c>
      <c r="F547" s="38" t="s">
        <v>8922</v>
      </c>
      <c r="G547" s="34" t="s">
        <v>9344</v>
      </c>
      <c r="H547" s="34" t="s">
        <v>9344</v>
      </c>
      <c r="I547" s="35" t="s">
        <v>10762</v>
      </c>
      <c r="J547" s="36" t="s">
        <v>472</v>
      </c>
    </row>
    <row r="548" spans="1:10" x14ac:dyDescent="0.25">
      <c r="A548" s="31" t="s">
        <v>472</v>
      </c>
      <c r="B548" s="31">
        <v>14.190099999999999</v>
      </c>
      <c r="C548" s="32" t="s">
        <v>10763</v>
      </c>
      <c r="D548" s="31" t="s">
        <v>10682</v>
      </c>
      <c r="E548" s="40" t="s">
        <v>10764</v>
      </c>
      <c r="F548" s="38" t="s">
        <v>8922</v>
      </c>
      <c r="G548" s="34" t="s">
        <v>9344</v>
      </c>
      <c r="I548" s="35" t="s">
        <v>10762</v>
      </c>
      <c r="J548" s="36" t="s">
        <v>472</v>
      </c>
    </row>
    <row r="549" spans="1:10" x14ac:dyDescent="0.25">
      <c r="A549" s="31" t="s">
        <v>473</v>
      </c>
      <c r="B549" s="31">
        <v>14.2</v>
      </c>
      <c r="C549" s="32" t="s">
        <v>10765</v>
      </c>
      <c r="D549" s="31" t="s">
        <v>10682</v>
      </c>
      <c r="E549" s="40" t="s">
        <v>9345</v>
      </c>
      <c r="F549" s="38" t="s">
        <v>8922</v>
      </c>
      <c r="G549" s="34" t="s">
        <v>9345</v>
      </c>
      <c r="H549" s="34" t="s">
        <v>9345</v>
      </c>
      <c r="I549" s="35" t="s">
        <v>10765</v>
      </c>
      <c r="J549" s="36" t="s">
        <v>473</v>
      </c>
    </row>
    <row r="550" spans="1:10" x14ac:dyDescent="0.25">
      <c r="A550" s="31" t="s">
        <v>473</v>
      </c>
      <c r="B550" s="31">
        <v>14.200100000000001</v>
      </c>
      <c r="C550" s="32" t="s">
        <v>10766</v>
      </c>
      <c r="D550" s="31" t="s">
        <v>10682</v>
      </c>
      <c r="E550" s="40" t="s">
        <v>10767</v>
      </c>
      <c r="F550" s="38" t="s">
        <v>8922</v>
      </c>
      <c r="G550" s="34" t="s">
        <v>9345</v>
      </c>
      <c r="I550" s="35" t="s">
        <v>10765</v>
      </c>
      <c r="J550" s="36" t="s">
        <v>473</v>
      </c>
    </row>
    <row r="551" spans="1:10" x14ac:dyDescent="0.25">
      <c r="A551" s="31" t="s">
        <v>474</v>
      </c>
      <c r="B551" s="31">
        <v>14.21</v>
      </c>
      <c r="C551" s="32" t="s">
        <v>10768</v>
      </c>
      <c r="D551" s="31" t="s">
        <v>10682</v>
      </c>
      <c r="E551" s="40" t="s">
        <v>9346</v>
      </c>
      <c r="F551" s="38" t="s">
        <v>8922</v>
      </c>
      <c r="G551" s="34" t="s">
        <v>9346</v>
      </c>
      <c r="H551" s="34" t="s">
        <v>9346</v>
      </c>
      <c r="I551" s="35" t="s">
        <v>10768</v>
      </c>
      <c r="J551" s="36" t="s">
        <v>474</v>
      </c>
    </row>
    <row r="552" spans="1:10" x14ac:dyDescent="0.25">
      <c r="A552" s="31" t="s">
        <v>474</v>
      </c>
      <c r="B552" s="31">
        <v>14.210100000000001</v>
      </c>
      <c r="C552" s="32" t="s">
        <v>10769</v>
      </c>
      <c r="D552" s="31" t="s">
        <v>10682</v>
      </c>
      <c r="E552" s="40" t="s">
        <v>10770</v>
      </c>
      <c r="F552" s="38" t="s">
        <v>8922</v>
      </c>
      <c r="G552" s="34" t="s">
        <v>9346</v>
      </c>
      <c r="I552" s="35" t="s">
        <v>10768</v>
      </c>
      <c r="J552" s="36" t="s">
        <v>474</v>
      </c>
    </row>
    <row r="553" spans="1:10" x14ac:dyDescent="0.25">
      <c r="A553" s="31" t="s">
        <v>475</v>
      </c>
      <c r="B553" s="31">
        <v>14.22</v>
      </c>
      <c r="C553" s="32" t="s">
        <v>10771</v>
      </c>
      <c r="D553" s="31" t="s">
        <v>10682</v>
      </c>
      <c r="E553" s="40" t="s">
        <v>9347</v>
      </c>
      <c r="F553" s="38" t="s">
        <v>8922</v>
      </c>
      <c r="G553" s="34" t="s">
        <v>9347</v>
      </c>
      <c r="H553" s="34" t="s">
        <v>9347</v>
      </c>
      <c r="I553" s="35" t="s">
        <v>10771</v>
      </c>
      <c r="J553" s="36" t="s">
        <v>475</v>
      </c>
    </row>
    <row r="554" spans="1:10" x14ac:dyDescent="0.25">
      <c r="A554" s="31" t="s">
        <v>475</v>
      </c>
      <c r="B554" s="31">
        <v>14.2201</v>
      </c>
      <c r="C554" s="32" t="s">
        <v>10772</v>
      </c>
      <c r="D554" s="31" t="s">
        <v>10682</v>
      </c>
      <c r="E554" s="40" t="s">
        <v>10773</v>
      </c>
      <c r="F554" s="38" t="s">
        <v>8922</v>
      </c>
      <c r="G554" s="34" t="s">
        <v>9347</v>
      </c>
      <c r="I554" s="35" t="s">
        <v>10771</v>
      </c>
      <c r="J554" s="36" t="s">
        <v>475</v>
      </c>
    </row>
    <row r="555" spans="1:10" x14ac:dyDescent="0.25">
      <c r="A555" s="31" t="s">
        <v>476</v>
      </c>
      <c r="B555" s="31">
        <v>14.23</v>
      </c>
      <c r="C555" s="32" t="s">
        <v>10774</v>
      </c>
      <c r="D555" s="31" t="s">
        <v>10682</v>
      </c>
      <c r="E555" s="40" t="s">
        <v>9348</v>
      </c>
      <c r="F555" s="38" t="s">
        <v>8922</v>
      </c>
      <c r="G555" s="34" t="s">
        <v>9348</v>
      </c>
      <c r="H555" s="34" t="s">
        <v>9348</v>
      </c>
      <c r="I555" s="35" t="s">
        <v>10774</v>
      </c>
      <c r="J555" s="36" t="s">
        <v>476</v>
      </c>
    </row>
    <row r="556" spans="1:10" x14ac:dyDescent="0.25">
      <c r="A556" s="31" t="s">
        <v>476</v>
      </c>
      <c r="B556" s="31">
        <v>14.2301</v>
      </c>
      <c r="C556" s="32" t="s">
        <v>10775</v>
      </c>
      <c r="D556" s="31" t="s">
        <v>10682</v>
      </c>
      <c r="E556" s="40" t="s">
        <v>10776</v>
      </c>
      <c r="F556" s="38" t="s">
        <v>8922</v>
      </c>
      <c r="G556" s="34" t="s">
        <v>9348</v>
      </c>
      <c r="I556" s="35" t="s">
        <v>10774</v>
      </c>
      <c r="J556" s="36" t="s">
        <v>476</v>
      </c>
    </row>
    <row r="557" spans="1:10" x14ac:dyDescent="0.25">
      <c r="A557" s="31" t="s">
        <v>477</v>
      </c>
      <c r="B557" s="31">
        <v>14.24</v>
      </c>
      <c r="C557" s="32" t="s">
        <v>10777</v>
      </c>
      <c r="D557" s="31" t="s">
        <v>10682</v>
      </c>
      <c r="E557" s="40" t="s">
        <v>9349</v>
      </c>
      <c r="F557" s="38" t="s">
        <v>8922</v>
      </c>
      <c r="G557" s="34" t="s">
        <v>9349</v>
      </c>
      <c r="H557" s="34" t="s">
        <v>9349</v>
      </c>
      <c r="I557" s="35" t="s">
        <v>10777</v>
      </c>
      <c r="J557" s="36" t="s">
        <v>477</v>
      </c>
    </row>
    <row r="558" spans="1:10" x14ac:dyDescent="0.25">
      <c r="A558" s="31" t="s">
        <v>477</v>
      </c>
      <c r="B558" s="31">
        <v>14.2401</v>
      </c>
      <c r="C558" s="32" t="s">
        <v>10778</v>
      </c>
      <c r="D558" s="31" t="s">
        <v>10682</v>
      </c>
      <c r="E558" s="40" t="s">
        <v>10779</v>
      </c>
      <c r="F558" s="38" t="s">
        <v>8922</v>
      </c>
      <c r="G558" s="34" t="s">
        <v>9349</v>
      </c>
      <c r="I558" s="35" t="s">
        <v>10777</v>
      </c>
      <c r="J558" s="36" t="s">
        <v>477</v>
      </c>
    </row>
    <row r="559" spans="1:10" x14ac:dyDescent="0.25">
      <c r="A559" s="31" t="s">
        <v>478</v>
      </c>
      <c r="B559" s="31">
        <v>14.25</v>
      </c>
      <c r="C559" s="32" t="s">
        <v>10780</v>
      </c>
      <c r="D559" s="31" t="s">
        <v>10682</v>
      </c>
      <c r="E559" s="40" t="s">
        <v>9350</v>
      </c>
      <c r="F559" s="38" t="s">
        <v>8922</v>
      </c>
      <c r="G559" s="34" t="s">
        <v>9350</v>
      </c>
      <c r="H559" s="34" t="s">
        <v>9350</v>
      </c>
      <c r="I559" s="35" t="s">
        <v>10780</v>
      </c>
      <c r="J559" s="36" t="s">
        <v>478</v>
      </c>
    </row>
    <row r="560" spans="1:10" x14ac:dyDescent="0.25">
      <c r="A560" s="31" t="s">
        <v>478</v>
      </c>
      <c r="B560" s="31">
        <v>14.2501</v>
      </c>
      <c r="C560" s="32" t="s">
        <v>10781</v>
      </c>
      <c r="D560" s="31" t="s">
        <v>10682</v>
      </c>
      <c r="E560" s="40" t="s">
        <v>10782</v>
      </c>
      <c r="F560" s="38" t="s">
        <v>8922</v>
      </c>
      <c r="G560" s="34" t="s">
        <v>9350</v>
      </c>
      <c r="I560" s="35" t="s">
        <v>10780</v>
      </c>
      <c r="J560" s="36" t="s">
        <v>478</v>
      </c>
    </row>
    <row r="561" spans="1:10" x14ac:dyDescent="0.25">
      <c r="A561" s="31" t="s">
        <v>479</v>
      </c>
      <c r="B561" s="31">
        <v>14.27</v>
      </c>
      <c r="C561" s="32" t="s">
        <v>10783</v>
      </c>
      <c r="D561" s="31" t="s">
        <v>10682</v>
      </c>
      <c r="E561" s="40" t="s">
        <v>9351</v>
      </c>
      <c r="F561" s="38" t="s">
        <v>8922</v>
      </c>
      <c r="G561" s="34" t="s">
        <v>9351</v>
      </c>
      <c r="H561" s="34" t="s">
        <v>9351</v>
      </c>
      <c r="I561" s="35" t="s">
        <v>10783</v>
      </c>
      <c r="J561" s="36" t="s">
        <v>479</v>
      </c>
    </row>
    <row r="562" spans="1:10" x14ac:dyDescent="0.25">
      <c r="A562" s="31" t="s">
        <v>479</v>
      </c>
      <c r="B562" s="31">
        <v>14.270099999999999</v>
      </c>
      <c r="C562" s="32" t="s">
        <v>10784</v>
      </c>
      <c r="D562" s="31" t="s">
        <v>10682</v>
      </c>
      <c r="E562" s="40" t="s">
        <v>10785</v>
      </c>
      <c r="F562" s="38" t="s">
        <v>8922</v>
      </c>
      <c r="G562" s="34" t="s">
        <v>9351</v>
      </c>
      <c r="I562" s="35" t="s">
        <v>10783</v>
      </c>
      <c r="J562" s="36" t="s">
        <v>479</v>
      </c>
    </row>
    <row r="563" spans="1:10" x14ac:dyDescent="0.25">
      <c r="A563" s="31" t="s">
        <v>480</v>
      </c>
      <c r="B563" s="31">
        <v>14.28</v>
      </c>
      <c r="C563" s="32" t="s">
        <v>10786</v>
      </c>
      <c r="D563" s="31" t="s">
        <v>10682</v>
      </c>
      <c r="E563" s="40" t="s">
        <v>9352</v>
      </c>
      <c r="F563" s="38" t="s">
        <v>8922</v>
      </c>
      <c r="G563" s="34" t="s">
        <v>9352</v>
      </c>
      <c r="H563" s="34" t="s">
        <v>9352</v>
      </c>
      <c r="I563" s="35" t="s">
        <v>10786</v>
      </c>
      <c r="J563" s="36" t="s">
        <v>480</v>
      </c>
    </row>
    <row r="564" spans="1:10" x14ac:dyDescent="0.25">
      <c r="A564" s="31" t="s">
        <v>480</v>
      </c>
      <c r="B564" s="31">
        <v>14.280099999999999</v>
      </c>
      <c r="C564" s="32" t="s">
        <v>10787</v>
      </c>
      <c r="D564" s="31" t="s">
        <v>10682</v>
      </c>
      <c r="E564" s="40" t="s">
        <v>10788</v>
      </c>
      <c r="F564" s="38" t="s">
        <v>8922</v>
      </c>
      <c r="G564" s="34" t="s">
        <v>9352</v>
      </c>
      <c r="I564" s="35" t="s">
        <v>10786</v>
      </c>
      <c r="J564" s="36" t="s">
        <v>480</v>
      </c>
    </row>
    <row r="565" spans="1:10" x14ac:dyDescent="0.25">
      <c r="A565" s="31" t="s">
        <v>482</v>
      </c>
      <c r="B565" s="31">
        <v>14.32</v>
      </c>
      <c r="C565" s="32" t="s">
        <v>10789</v>
      </c>
      <c r="D565" s="31" t="s">
        <v>10682</v>
      </c>
      <c r="E565" s="40" t="s">
        <v>9353</v>
      </c>
      <c r="F565" s="38" t="s">
        <v>8922</v>
      </c>
      <c r="G565" s="34" t="s">
        <v>9353</v>
      </c>
      <c r="H565" s="34" t="s">
        <v>9353</v>
      </c>
      <c r="I565" s="35" t="s">
        <v>10789</v>
      </c>
      <c r="J565" s="36" t="s">
        <v>482</v>
      </c>
    </row>
    <row r="566" spans="1:10" x14ac:dyDescent="0.25">
      <c r="A566" s="31" t="s">
        <v>482</v>
      </c>
      <c r="B566" s="31">
        <v>14.3201</v>
      </c>
      <c r="C566" s="32" t="s">
        <v>10790</v>
      </c>
      <c r="D566" s="31" t="s">
        <v>10682</v>
      </c>
      <c r="E566" s="40" t="s">
        <v>10791</v>
      </c>
      <c r="F566" s="38" t="s">
        <v>8922</v>
      </c>
      <c r="G566" s="34" t="s">
        <v>9353</v>
      </c>
      <c r="I566" s="35" t="s">
        <v>10789</v>
      </c>
      <c r="J566" s="36" t="s">
        <v>482</v>
      </c>
    </row>
    <row r="567" spans="1:10" x14ac:dyDescent="0.25">
      <c r="A567" s="31" t="s">
        <v>483</v>
      </c>
      <c r="B567" s="31">
        <v>14.33</v>
      </c>
      <c r="C567" s="32" t="s">
        <v>10792</v>
      </c>
      <c r="D567" s="31" t="s">
        <v>10682</v>
      </c>
      <c r="E567" s="40" t="s">
        <v>9354</v>
      </c>
      <c r="F567" s="38" t="s">
        <v>8922</v>
      </c>
      <c r="G567" s="34" t="s">
        <v>9354</v>
      </c>
      <c r="H567" s="34" t="s">
        <v>9354</v>
      </c>
      <c r="I567" s="35" t="s">
        <v>10792</v>
      </c>
      <c r="J567" s="36" t="s">
        <v>483</v>
      </c>
    </row>
    <row r="568" spans="1:10" x14ac:dyDescent="0.25">
      <c r="A568" s="31" t="s">
        <v>483</v>
      </c>
      <c r="B568" s="31">
        <v>14.3301</v>
      </c>
      <c r="C568" s="32" t="s">
        <v>10793</v>
      </c>
      <c r="D568" s="31" t="s">
        <v>10682</v>
      </c>
      <c r="E568" s="40" t="s">
        <v>10794</v>
      </c>
      <c r="F568" s="38" t="s">
        <v>8922</v>
      </c>
      <c r="G568" s="34" t="s">
        <v>9354</v>
      </c>
      <c r="I568" s="35" t="s">
        <v>10792</v>
      </c>
      <c r="J568" s="36" t="s">
        <v>483</v>
      </c>
    </row>
    <row r="569" spans="1:10" x14ac:dyDescent="0.25">
      <c r="A569" s="31" t="s">
        <v>484</v>
      </c>
      <c r="B569" s="31">
        <v>14.34</v>
      </c>
      <c r="C569" s="32" t="s">
        <v>10795</v>
      </c>
      <c r="D569" s="31" t="s">
        <v>10682</v>
      </c>
      <c r="E569" s="40" t="s">
        <v>9355</v>
      </c>
      <c r="F569" s="38" t="s">
        <v>8922</v>
      </c>
      <c r="G569" s="34" t="s">
        <v>9355</v>
      </c>
      <c r="H569" s="34" t="s">
        <v>9355</v>
      </c>
      <c r="I569" s="35" t="s">
        <v>10795</v>
      </c>
      <c r="J569" s="36" t="s">
        <v>484</v>
      </c>
    </row>
    <row r="570" spans="1:10" x14ac:dyDescent="0.25">
      <c r="A570" s="31" t="s">
        <v>484</v>
      </c>
      <c r="B570" s="31">
        <v>14.3401</v>
      </c>
      <c r="C570" s="32" t="s">
        <v>10796</v>
      </c>
      <c r="D570" s="31" t="s">
        <v>10682</v>
      </c>
      <c r="E570" s="40" t="s">
        <v>10797</v>
      </c>
      <c r="F570" s="38" t="s">
        <v>8922</v>
      </c>
      <c r="G570" s="34" t="s">
        <v>9355</v>
      </c>
      <c r="I570" s="35" t="s">
        <v>10795</v>
      </c>
      <c r="J570" s="36" t="s">
        <v>484</v>
      </c>
    </row>
    <row r="571" spans="1:10" x14ac:dyDescent="0.25">
      <c r="A571" s="31" t="s">
        <v>485</v>
      </c>
      <c r="B571" s="31">
        <v>14.35</v>
      </c>
      <c r="C571" s="32" t="s">
        <v>10798</v>
      </c>
      <c r="D571" s="31" t="s">
        <v>10682</v>
      </c>
      <c r="E571" s="40" t="s">
        <v>9356</v>
      </c>
      <c r="F571" s="38" t="s">
        <v>8922</v>
      </c>
      <c r="G571" s="34" t="s">
        <v>9356</v>
      </c>
      <c r="H571" s="34" t="s">
        <v>9356</v>
      </c>
      <c r="I571" s="35" t="s">
        <v>10798</v>
      </c>
      <c r="J571" s="36" t="s">
        <v>485</v>
      </c>
    </row>
    <row r="572" spans="1:10" x14ac:dyDescent="0.25">
      <c r="A572" s="31" t="s">
        <v>485</v>
      </c>
      <c r="B572" s="31">
        <v>14.350099999999999</v>
      </c>
      <c r="C572" s="32" t="s">
        <v>10799</v>
      </c>
      <c r="D572" s="31" t="s">
        <v>10682</v>
      </c>
      <c r="E572" s="40" t="s">
        <v>10800</v>
      </c>
      <c r="F572" s="38" t="s">
        <v>8922</v>
      </c>
      <c r="G572" s="34" t="s">
        <v>9356</v>
      </c>
      <c r="I572" s="35" t="s">
        <v>10798</v>
      </c>
      <c r="J572" s="36" t="s">
        <v>485</v>
      </c>
    </row>
    <row r="573" spans="1:10" x14ac:dyDescent="0.25">
      <c r="A573" s="31" t="s">
        <v>486</v>
      </c>
      <c r="B573" s="31">
        <v>14.36</v>
      </c>
      <c r="C573" s="32" t="s">
        <v>10801</v>
      </c>
      <c r="D573" s="31" t="s">
        <v>10682</v>
      </c>
      <c r="E573" s="40" t="s">
        <v>9357</v>
      </c>
      <c r="F573" s="38" t="s">
        <v>8922</v>
      </c>
      <c r="G573" s="34" t="s">
        <v>9357</v>
      </c>
      <c r="H573" s="34" t="s">
        <v>9357</v>
      </c>
      <c r="I573" s="35" t="s">
        <v>10801</v>
      </c>
      <c r="J573" s="36" t="s">
        <v>486</v>
      </c>
    </row>
    <row r="574" spans="1:10" x14ac:dyDescent="0.25">
      <c r="A574" s="31" t="s">
        <v>486</v>
      </c>
      <c r="B574" s="31">
        <v>14.360099999999999</v>
      </c>
      <c r="C574" s="32" t="s">
        <v>10802</v>
      </c>
      <c r="D574" s="31" t="s">
        <v>10682</v>
      </c>
      <c r="E574" s="40" t="s">
        <v>10803</v>
      </c>
      <c r="F574" s="38" t="s">
        <v>8922</v>
      </c>
      <c r="G574" s="34" t="s">
        <v>9357</v>
      </c>
      <c r="I574" s="35" t="s">
        <v>10801</v>
      </c>
      <c r="J574" s="36" t="s">
        <v>486</v>
      </c>
    </row>
    <row r="575" spans="1:10" x14ac:dyDescent="0.25">
      <c r="A575" s="31" t="s">
        <v>487</v>
      </c>
      <c r="B575" s="31">
        <v>14.37</v>
      </c>
      <c r="C575" s="32" t="s">
        <v>10804</v>
      </c>
      <c r="D575" s="31" t="s">
        <v>10682</v>
      </c>
      <c r="E575" s="40" t="s">
        <v>9358</v>
      </c>
      <c r="F575" s="38" t="s">
        <v>8922</v>
      </c>
      <c r="G575" s="34" t="s">
        <v>9358</v>
      </c>
      <c r="H575" s="34" t="s">
        <v>9358</v>
      </c>
      <c r="I575" s="35" t="s">
        <v>10804</v>
      </c>
      <c r="J575" s="36" t="s">
        <v>487</v>
      </c>
    </row>
    <row r="576" spans="1:10" x14ac:dyDescent="0.25">
      <c r="A576" s="31" t="s">
        <v>487</v>
      </c>
      <c r="B576" s="31">
        <v>14.370100000000001</v>
      </c>
      <c r="C576" s="32" t="s">
        <v>10805</v>
      </c>
      <c r="D576" s="31" t="s">
        <v>10682</v>
      </c>
      <c r="E576" s="40" t="s">
        <v>10806</v>
      </c>
      <c r="F576" s="38" t="s">
        <v>8922</v>
      </c>
      <c r="G576" s="34" t="s">
        <v>9358</v>
      </c>
      <c r="I576" s="35" t="s">
        <v>10804</v>
      </c>
      <c r="J576" s="36" t="s">
        <v>487</v>
      </c>
    </row>
    <row r="577" spans="1:10" x14ac:dyDescent="0.25">
      <c r="A577" s="31" t="s">
        <v>488</v>
      </c>
      <c r="B577" s="31">
        <v>14.38</v>
      </c>
      <c r="C577" s="32" t="s">
        <v>10807</v>
      </c>
      <c r="D577" s="31" t="s">
        <v>10682</v>
      </c>
      <c r="E577" s="40" t="s">
        <v>9359</v>
      </c>
      <c r="F577" s="38" t="s">
        <v>8922</v>
      </c>
      <c r="G577" s="34" t="s">
        <v>9359</v>
      </c>
      <c r="H577" s="34" t="s">
        <v>9359</v>
      </c>
      <c r="I577" s="35" t="s">
        <v>10807</v>
      </c>
      <c r="J577" s="36" t="s">
        <v>488</v>
      </c>
    </row>
    <row r="578" spans="1:10" x14ac:dyDescent="0.25">
      <c r="A578" s="31" t="s">
        <v>488</v>
      </c>
      <c r="B578" s="31">
        <v>14.380100000000001</v>
      </c>
      <c r="C578" s="32" t="s">
        <v>10808</v>
      </c>
      <c r="D578" s="31" t="s">
        <v>10682</v>
      </c>
      <c r="E578" s="40" t="s">
        <v>10809</v>
      </c>
      <c r="F578" s="38" t="s">
        <v>8922</v>
      </c>
      <c r="G578" s="34" t="s">
        <v>9359</v>
      </c>
      <c r="I578" s="35" t="s">
        <v>10807</v>
      </c>
      <c r="J578" s="36" t="s">
        <v>488</v>
      </c>
    </row>
    <row r="579" spans="1:10" x14ac:dyDescent="0.25">
      <c r="A579" s="31" t="s">
        <v>489</v>
      </c>
      <c r="B579" s="31">
        <v>14.39</v>
      </c>
      <c r="C579" s="32" t="s">
        <v>10810</v>
      </c>
      <c r="D579" s="31" t="s">
        <v>10682</v>
      </c>
      <c r="E579" s="40" t="s">
        <v>9360</v>
      </c>
      <c r="F579" s="38" t="s">
        <v>8922</v>
      </c>
      <c r="G579" s="34" t="s">
        <v>9360</v>
      </c>
      <c r="H579" s="34" t="s">
        <v>9360</v>
      </c>
      <c r="I579" s="35" t="s">
        <v>10810</v>
      </c>
      <c r="J579" s="36" t="s">
        <v>489</v>
      </c>
    </row>
    <row r="580" spans="1:10" x14ac:dyDescent="0.25">
      <c r="A580" s="31" t="s">
        <v>489</v>
      </c>
      <c r="B580" s="31">
        <v>14.3901</v>
      </c>
      <c r="C580" s="32" t="s">
        <v>10811</v>
      </c>
      <c r="D580" s="31" t="s">
        <v>10682</v>
      </c>
      <c r="E580" s="40" t="s">
        <v>10812</v>
      </c>
      <c r="F580" s="38" t="s">
        <v>8922</v>
      </c>
      <c r="G580" s="34" t="s">
        <v>9360</v>
      </c>
      <c r="I580" s="35" t="s">
        <v>10810</v>
      </c>
      <c r="J580" s="36" t="s">
        <v>489</v>
      </c>
    </row>
    <row r="581" spans="1:10" x14ac:dyDescent="0.25">
      <c r="A581" s="31" t="s">
        <v>490</v>
      </c>
      <c r="B581" s="31">
        <v>14.4</v>
      </c>
      <c r="C581" s="32" t="s">
        <v>10813</v>
      </c>
      <c r="D581" s="31" t="s">
        <v>10682</v>
      </c>
      <c r="E581" s="40" t="s">
        <v>9361</v>
      </c>
      <c r="F581" s="38" t="s">
        <v>8922</v>
      </c>
      <c r="G581" s="34" t="s">
        <v>9361</v>
      </c>
      <c r="H581" s="34" t="s">
        <v>9361</v>
      </c>
      <c r="I581" s="35" t="s">
        <v>10813</v>
      </c>
      <c r="J581" s="36" t="s">
        <v>490</v>
      </c>
    </row>
    <row r="582" spans="1:10" x14ac:dyDescent="0.25">
      <c r="A582" s="31" t="s">
        <v>490</v>
      </c>
      <c r="B582" s="31">
        <v>14.4001</v>
      </c>
      <c r="C582" s="32" t="s">
        <v>10814</v>
      </c>
      <c r="D582" s="31" t="s">
        <v>10682</v>
      </c>
      <c r="E582" s="40" t="s">
        <v>10815</v>
      </c>
      <c r="F582" s="38" t="s">
        <v>8922</v>
      </c>
      <c r="G582" s="34" t="s">
        <v>9361</v>
      </c>
      <c r="I582" s="35" t="s">
        <v>10813</v>
      </c>
      <c r="J582" s="36" t="s">
        <v>490</v>
      </c>
    </row>
    <row r="583" spans="1:10" x14ac:dyDescent="0.25">
      <c r="A583" s="31" t="s">
        <v>491</v>
      </c>
      <c r="B583" s="31">
        <v>14.41</v>
      </c>
      <c r="C583" s="32" t="s">
        <v>10816</v>
      </c>
      <c r="D583" s="31" t="s">
        <v>10682</v>
      </c>
      <c r="E583" s="40" t="s">
        <v>9362</v>
      </c>
      <c r="F583" s="38" t="s">
        <v>8922</v>
      </c>
      <c r="G583" s="34" t="s">
        <v>9362</v>
      </c>
      <c r="H583" s="34" t="s">
        <v>9362</v>
      </c>
      <c r="I583" s="35" t="s">
        <v>10816</v>
      </c>
      <c r="J583" s="36" t="s">
        <v>491</v>
      </c>
    </row>
    <row r="584" spans="1:10" x14ac:dyDescent="0.25">
      <c r="A584" s="31" t="s">
        <v>491</v>
      </c>
      <c r="B584" s="31">
        <v>14.4101</v>
      </c>
      <c r="C584" s="32" t="s">
        <v>10817</v>
      </c>
      <c r="D584" s="31" t="s">
        <v>10682</v>
      </c>
      <c r="E584" s="40" t="s">
        <v>10818</v>
      </c>
      <c r="F584" s="38" t="s">
        <v>8922</v>
      </c>
      <c r="G584" s="34" t="s">
        <v>9362</v>
      </c>
      <c r="I584" s="35" t="s">
        <v>10816</v>
      </c>
      <c r="J584" s="36" t="s">
        <v>491</v>
      </c>
    </row>
    <row r="585" spans="1:10" x14ac:dyDescent="0.25">
      <c r="A585" s="31" t="s">
        <v>492</v>
      </c>
      <c r="B585" s="31">
        <v>14.42</v>
      </c>
      <c r="C585" s="32" t="s">
        <v>10819</v>
      </c>
      <c r="D585" s="31" t="s">
        <v>10682</v>
      </c>
      <c r="E585" s="40" t="s">
        <v>9363</v>
      </c>
      <c r="F585" s="38" t="s">
        <v>8922</v>
      </c>
      <c r="G585" s="34" t="s">
        <v>9363</v>
      </c>
      <c r="H585" s="34" t="s">
        <v>9363</v>
      </c>
      <c r="I585" s="35" t="s">
        <v>10819</v>
      </c>
      <c r="J585" s="36" t="s">
        <v>492</v>
      </c>
    </row>
    <row r="586" spans="1:10" x14ac:dyDescent="0.25">
      <c r="A586" s="31" t="s">
        <v>492</v>
      </c>
      <c r="B586" s="31">
        <v>14.4201</v>
      </c>
      <c r="C586" s="32" t="s">
        <v>10820</v>
      </c>
      <c r="D586" s="31" t="s">
        <v>10682</v>
      </c>
      <c r="E586" s="40" t="s">
        <v>10821</v>
      </c>
      <c r="F586" s="38" t="s">
        <v>8922</v>
      </c>
      <c r="G586" s="34" t="s">
        <v>9363</v>
      </c>
      <c r="I586" s="35" t="s">
        <v>10819</v>
      </c>
      <c r="J586" s="36" t="s">
        <v>492</v>
      </c>
    </row>
    <row r="587" spans="1:10" x14ac:dyDescent="0.25">
      <c r="A587" s="31" t="s">
        <v>493</v>
      </c>
      <c r="B587" s="31">
        <v>14.43</v>
      </c>
      <c r="C587" s="32" t="s">
        <v>10822</v>
      </c>
      <c r="D587" s="31" t="s">
        <v>10682</v>
      </c>
      <c r="E587" s="40" t="s">
        <v>9364</v>
      </c>
      <c r="F587" s="38" t="s">
        <v>8922</v>
      </c>
      <c r="G587" s="34" t="s">
        <v>9364</v>
      </c>
      <c r="H587" s="34" t="s">
        <v>9364</v>
      </c>
      <c r="I587" s="35" t="s">
        <v>10822</v>
      </c>
      <c r="J587" s="36" t="s">
        <v>493</v>
      </c>
    </row>
    <row r="588" spans="1:10" x14ac:dyDescent="0.25">
      <c r="A588" s="31" t="s">
        <v>493</v>
      </c>
      <c r="B588" s="31">
        <v>14.430099999999999</v>
      </c>
      <c r="C588" s="32" t="s">
        <v>10823</v>
      </c>
      <c r="D588" s="31" t="s">
        <v>10682</v>
      </c>
      <c r="E588" s="40" t="s">
        <v>10824</v>
      </c>
      <c r="F588" s="38" t="s">
        <v>8922</v>
      </c>
      <c r="G588" s="34" t="s">
        <v>9364</v>
      </c>
      <c r="I588" s="35" t="s">
        <v>10822</v>
      </c>
      <c r="J588" s="36" t="s">
        <v>493</v>
      </c>
    </row>
    <row r="589" spans="1:10" x14ac:dyDescent="0.25">
      <c r="A589" s="31" t="s">
        <v>494</v>
      </c>
      <c r="B589" s="31">
        <v>14.44</v>
      </c>
      <c r="C589" s="32" t="s">
        <v>10825</v>
      </c>
      <c r="D589" s="31" t="s">
        <v>10682</v>
      </c>
      <c r="E589" s="40" t="s">
        <v>9365</v>
      </c>
      <c r="F589" s="38" t="s">
        <v>8922</v>
      </c>
      <c r="G589" s="34" t="s">
        <v>9365</v>
      </c>
      <c r="H589" s="34" t="s">
        <v>9365</v>
      </c>
      <c r="I589" s="35" t="s">
        <v>10825</v>
      </c>
      <c r="J589" s="36" t="s">
        <v>494</v>
      </c>
    </row>
    <row r="590" spans="1:10" x14ac:dyDescent="0.25">
      <c r="A590" s="31" t="s">
        <v>494</v>
      </c>
      <c r="B590" s="31">
        <v>14.440099999999999</v>
      </c>
      <c r="C590" s="32" t="s">
        <v>10826</v>
      </c>
      <c r="D590" s="31" t="s">
        <v>10682</v>
      </c>
      <c r="E590" s="40" t="s">
        <v>10827</v>
      </c>
      <c r="F590" s="38" t="s">
        <v>8922</v>
      </c>
      <c r="G590" s="34" t="s">
        <v>9365</v>
      </c>
      <c r="I590" s="35" t="s">
        <v>10825</v>
      </c>
      <c r="J590" s="36" t="s">
        <v>494</v>
      </c>
    </row>
    <row r="591" spans="1:10" x14ac:dyDescent="0.25">
      <c r="A591" s="31" t="s">
        <v>495</v>
      </c>
      <c r="B591" s="31">
        <v>14.45</v>
      </c>
      <c r="C591" s="32" t="s">
        <v>10828</v>
      </c>
      <c r="D591" s="31" t="s">
        <v>10682</v>
      </c>
      <c r="E591" s="40" t="s">
        <v>9366</v>
      </c>
      <c r="F591" s="38" t="s">
        <v>8922</v>
      </c>
      <c r="G591" s="34" t="s">
        <v>9366</v>
      </c>
      <c r="H591" s="34" t="s">
        <v>9366</v>
      </c>
      <c r="I591" s="35" t="s">
        <v>10828</v>
      </c>
      <c r="J591" s="36" t="s">
        <v>495</v>
      </c>
    </row>
    <row r="592" spans="1:10" x14ac:dyDescent="0.25">
      <c r="A592" s="31" t="s">
        <v>495</v>
      </c>
      <c r="B592" s="31">
        <v>14.450100000000001</v>
      </c>
      <c r="C592" s="32" t="s">
        <v>10829</v>
      </c>
      <c r="D592" s="31" t="s">
        <v>10682</v>
      </c>
      <c r="E592" s="40" t="s">
        <v>10830</v>
      </c>
      <c r="F592" s="38" t="s">
        <v>8922</v>
      </c>
      <c r="G592" s="34" t="s">
        <v>9366</v>
      </c>
      <c r="I592" s="35" t="s">
        <v>10828</v>
      </c>
      <c r="J592" s="36" t="s">
        <v>495</v>
      </c>
    </row>
    <row r="593" spans="1:10" x14ac:dyDescent="0.25">
      <c r="A593" s="31" t="s">
        <v>1885</v>
      </c>
      <c r="B593" s="31">
        <v>14.47</v>
      </c>
      <c r="C593" s="32" t="s">
        <v>10831</v>
      </c>
      <c r="D593" s="31" t="s">
        <v>10682</v>
      </c>
      <c r="E593" s="40" t="s">
        <v>9367</v>
      </c>
      <c r="F593" s="38" t="s">
        <v>8922</v>
      </c>
      <c r="G593" s="34" t="s">
        <v>9367</v>
      </c>
      <c r="H593" s="34" t="s">
        <v>9367</v>
      </c>
      <c r="I593" s="35" t="s">
        <v>10831</v>
      </c>
      <c r="J593" s="36" t="s">
        <v>1885</v>
      </c>
    </row>
    <row r="594" spans="1:10" x14ac:dyDescent="0.25">
      <c r="A594" s="31" t="s">
        <v>1885</v>
      </c>
      <c r="B594" s="31">
        <v>14.4701</v>
      </c>
      <c r="C594" s="32" t="s">
        <v>10832</v>
      </c>
      <c r="D594" s="31" t="s">
        <v>10682</v>
      </c>
      <c r="E594" s="40" t="s">
        <v>10833</v>
      </c>
      <c r="F594" s="38" t="s">
        <v>8922</v>
      </c>
      <c r="G594" s="34" t="s">
        <v>9367</v>
      </c>
      <c r="I594" s="35" t="s">
        <v>10831</v>
      </c>
      <c r="J594" s="36" t="s">
        <v>1885</v>
      </c>
    </row>
    <row r="595" spans="1:10" x14ac:dyDescent="0.25">
      <c r="A595" s="31" t="s">
        <v>1886</v>
      </c>
      <c r="B595" s="31">
        <v>14.48</v>
      </c>
      <c r="C595" s="32" t="s">
        <v>10834</v>
      </c>
      <c r="D595" s="31" t="s">
        <v>10682</v>
      </c>
      <c r="E595" s="40" t="s">
        <v>9368</v>
      </c>
      <c r="F595" s="38" t="s">
        <v>8922</v>
      </c>
      <c r="G595" s="34" t="s">
        <v>9368</v>
      </c>
      <c r="H595" s="34" t="s">
        <v>9368</v>
      </c>
      <c r="I595" s="35" t="s">
        <v>10834</v>
      </c>
      <c r="J595" s="36" t="s">
        <v>1886</v>
      </c>
    </row>
    <row r="596" spans="1:10" x14ac:dyDescent="0.25">
      <c r="A596" s="31" t="s">
        <v>1887</v>
      </c>
      <c r="B596" s="31">
        <v>14.4801</v>
      </c>
      <c r="C596" s="32" t="s">
        <v>10835</v>
      </c>
      <c r="D596" s="31" t="s">
        <v>10682</v>
      </c>
      <c r="E596" s="40" t="s">
        <v>10836</v>
      </c>
      <c r="F596" s="38" t="s">
        <v>8922</v>
      </c>
      <c r="G596" s="34" t="s">
        <v>9368</v>
      </c>
      <c r="I596" s="35" t="s">
        <v>10834</v>
      </c>
      <c r="J596" s="36" t="s">
        <v>1887</v>
      </c>
    </row>
    <row r="597" spans="1:10" x14ac:dyDescent="0.25">
      <c r="A597" s="31" t="s">
        <v>1888</v>
      </c>
      <c r="B597" s="31">
        <v>14.4802</v>
      </c>
      <c r="C597" s="32" t="s">
        <v>10837</v>
      </c>
      <c r="D597" s="31" t="s">
        <v>10682</v>
      </c>
      <c r="E597" s="40" t="s">
        <v>10838</v>
      </c>
      <c r="F597" s="38" t="s">
        <v>8922</v>
      </c>
      <c r="G597" s="34" t="s">
        <v>9368</v>
      </c>
      <c r="I597" s="35" t="s">
        <v>10834</v>
      </c>
      <c r="J597" s="36" t="s">
        <v>1888</v>
      </c>
    </row>
    <row r="598" spans="1:10" x14ac:dyDescent="0.25">
      <c r="A598" s="31" t="s">
        <v>1889</v>
      </c>
      <c r="B598" s="31">
        <v>14.4899</v>
      </c>
      <c r="C598" s="32" t="s">
        <v>10839</v>
      </c>
      <c r="D598" s="31" t="s">
        <v>10682</v>
      </c>
      <c r="E598" s="40" t="s">
        <v>10840</v>
      </c>
      <c r="F598" s="38" t="s">
        <v>8922</v>
      </c>
      <c r="G598" s="34" t="s">
        <v>9368</v>
      </c>
      <c r="I598" s="35" t="s">
        <v>10834</v>
      </c>
      <c r="J598" s="36" t="s">
        <v>1889</v>
      </c>
    </row>
    <row r="599" spans="1:10" x14ac:dyDescent="0.25">
      <c r="A599" s="31" t="s">
        <v>496</v>
      </c>
      <c r="B599" s="31">
        <v>14.99</v>
      </c>
      <c r="C599" s="32" t="s">
        <v>10841</v>
      </c>
      <c r="D599" s="31" t="s">
        <v>10682</v>
      </c>
      <c r="E599" s="40" t="s">
        <v>9369</v>
      </c>
      <c r="F599" s="38" t="s">
        <v>8922</v>
      </c>
      <c r="G599" s="34" t="s">
        <v>9369</v>
      </c>
      <c r="H599" s="34" t="s">
        <v>9369</v>
      </c>
      <c r="I599" s="35" t="s">
        <v>10841</v>
      </c>
      <c r="J599" s="36" t="s">
        <v>496</v>
      </c>
    </row>
    <row r="600" spans="1:10" x14ac:dyDescent="0.25">
      <c r="A600" s="31" t="s">
        <v>496</v>
      </c>
      <c r="B600" s="31">
        <v>14.9999</v>
      </c>
      <c r="C600" s="32" t="s">
        <v>10842</v>
      </c>
      <c r="D600" s="31" t="s">
        <v>10682</v>
      </c>
      <c r="E600" s="40" t="s">
        <v>10843</v>
      </c>
      <c r="F600" s="38" t="s">
        <v>8922</v>
      </c>
      <c r="G600" s="34" t="s">
        <v>9369</v>
      </c>
      <c r="I600" s="35" t="s">
        <v>10841</v>
      </c>
      <c r="J600" s="36" t="s">
        <v>496</v>
      </c>
    </row>
    <row r="601" spans="1:10" x14ac:dyDescent="0.25">
      <c r="A601" s="31" t="s">
        <v>1891</v>
      </c>
      <c r="B601" s="31">
        <v>15</v>
      </c>
      <c r="C601" s="32" t="s">
        <v>10844</v>
      </c>
      <c r="D601" s="31" t="s">
        <v>10845</v>
      </c>
      <c r="E601" s="40" t="s">
        <v>9370</v>
      </c>
      <c r="F601" s="38" t="s">
        <v>8954</v>
      </c>
      <c r="G601" s="34" t="s">
        <v>9370</v>
      </c>
      <c r="H601" s="34" t="s">
        <v>9370</v>
      </c>
      <c r="I601" s="35" t="s">
        <v>10844</v>
      </c>
      <c r="J601" s="36" t="s">
        <v>1891</v>
      </c>
    </row>
    <row r="602" spans="1:10" x14ac:dyDescent="0.25">
      <c r="A602" s="31" t="s">
        <v>1891</v>
      </c>
      <c r="B602" s="31">
        <v>15</v>
      </c>
      <c r="C602" s="32" t="s">
        <v>10846</v>
      </c>
      <c r="D602" s="31" t="s">
        <v>10845</v>
      </c>
      <c r="E602" s="40" t="s">
        <v>10847</v>
      </c>
      <c r="F602" s="38" t="s">
        <v>8954</v>
      </c>
      <c r="G602" s="34" t="s">
        <v>9370</v>
      </c>
      <c r="I602" s="35" t="s">
        <v>10844</v>
      </c>
      <c r="J602" s="36" t="s">
        <v>1891</v>
      </c>
    </row>
    <row r="603" spans="1:10" x14ac:dyDescent="0.25">
      <c r="A603" s="31" t="s">
        <v>1890</v>
      </c>
      <c r="B603" s="31">
        <v>15</v>
      </c>
      <c r="C603" s="32" t="s">
        <v>10845</v>
      </c>
      <c r="D603" s="31" t="s">
        <v>10845</v>
      </c>
      <c r="E603" s="40" t="s">
        <v>9371</v>
      </c>
      <c r="F603" s="38" t="s">
        <v>8954</v>
      </c>
      <c r="G603" s="34" t="s">
        <v>9371</v>
      </c>
      <c r="H603" s="34" t="s">
        <v>9371</v>
      </c>
      <c r="I603" s="35" t="s">
        <v>10845</v>
      </c>
      <c r="J603" s="36" t="s">
        <v>1890</v>
      </c>
    </row>
    <row r="604" spans="1:10" x14ac:dyDescent="0.25">
      <c r="A604" s="31" t="s">
        <v>1892</v>
      </c>
      <c r="B604" s="31">
        <v>15.0001</v>
      </c>
      <c r="C604" s="32" t="s">
        <v>10848</v>
      </c>
      <c r="D604" s="31" t="s">
        <v>10845</v>
      </c>
      <c r="E604" s="40" t="s">
        <v>10849</v>
      </c>
      <c r="F604" s="38" t="s">
        <v>8954</v>
      </c>
      <c r="G604" s="34" t="s">
        <v>9370</v>
      </c>
      <c r="I604" s="35" t="s">
        <v>10844</v>
      </c>
      <c r="J604" s="36" t="s">
        <v>1892</v>
      </c>
    </row>
    <row r="605" spans="1:10" x14ac:dyDescent="0.25">
      <c r="A605" s="31" t="s">
        <v>497</v>
      </c>
      <c r="B605" s="31">
        <v>15.01</v>
      </c>
      <c r="C605" s="32" t="s">
        <v>10850</v>
      </c>
      <c r="D605" s="31" t="s">
        <v>10845</v>
      </c>
      <c r="E605" s="40" t="s">
        <v>9372</v>
      </c>
      <c r="F605" s="38" t="s">
        <v>8954</v>
      </c>
      <c r="G605" s="34" t="s">
        <v>9372</v>
      </c>
      <c r="H605" s="34" t="s">
        <v>9372</v>
      </c>
      <c r="I605" s="35" t="s">
        <v>10850</v>
      </c>
      <c r="J605" s="36" t="s">
        <v>497</v>
      </c>
    </row>
    <row r="606" spans="1:10" x14ac:dyDescent="0.25">
      <c r="A606" s="31" t="s">
        <v>497</v>
      </c>
      <c r="B606" s="31">
        <v>15.0101</v>
      </c>
      <c r="C606" s="32" t="s">
        <v>10851</v>
      </c>
      <c r="D606" s="31" t="s">
        <v>10845</v>
      </c>
      <c r="E606" s="40" t="s">
        <v>10852</v>
      </c>
      <c r="F606" s="38" t="s">
        <v>8954</v>
      </c>
      <c r="G606" s="34" t="s">
        <v>9372</v>
      </c>
      <c r="I606" s="35" t="s">
        <v>10850</v>
      </c>
      <c r="J606" s="36" t="s">
        <v>497</v>
      </c>
    </row>
    <row r="607" spans="1:10" x14ac:dyDescent="0.25">
      <c r="A607" s="31" t="s">
        <v>498</v>
      </c>
      <c r="B607" s="31">
        <v>15.02</v>
      </c>
      <c r="C607" s="32" t="s">
        <v>10853</v>
      </c>
      <c r="D607" s="31" t="s">
        <v>10845</v>
      </c>
      <c r="E607" s="40" t="s">
        <v>9373</v>
      </c>
      <c r="F607" s="38" t="s">
        <v>8954</v>
      </c>
      <c r="G607" s="34" t="s">
        <v>9373</v>
      </c>
      <c r="H607" s="34" t="s">
        <v>9373</v>
      </c>
      <c r="I607" s="35" t="s">
        <v>10853</v>
      </c>
      <c r="J607" s="36" t="s">
        <v>498</v>
      </c>
    </row>
    <row r="608" spans="1:10" x14ac:dyDescent="0.25">
      <c r="A608" s="31" t="s">
        <v>498</v>
      </c>
      <c r="B608" s="31">
        <v>15.020099999999999</v>
      </c>
      <c r="C608" s="32" t="s">
        <v>10854</v>
      </c>
      <c r="D608" s="31" t="s">
        <v>10845</v>
      </c>
      <c r="E608" s="40" t="s">
        <v>10855</v>
      </c>
      <c r="F608" s="38" t="s">
        <v>8954</v>
      </c>
      <c r="G608" s="34" t="s">
        <v>9373</v>
      </c>
      <c r="I608" s="35" t="s">
        <v>10853</v>
      </c>
      <c r="J608" s="36" t="s">
        <v>498</v>
      </c>
    </row>
    <row r="609" spans="1:10" x14ac:dyDescent="0.25">
      <c r="A609" s="31" t="s">
        <v>1893</v>
      </c>
      <c r="B609" s="31">
        <v>15.03</v>
      </c>
      <c r="C609" s="32" t="s">
        <v>10856</v>
      </c>
      <c r="D609" s="31" t="s">
        <v>10845</v>
      </c>
      <c r="E609" s="40" t="s">
        <v>9374</v>
      </c>
      <c r="F609" s="38" t="s">
        <v>8954</v>
      </c>
      <c r="G609" s="34" t="s">
        <v>9374</v>
      </c>
      <c r="H609" s="34" t="s">
        <v>9374</v>
      </c>
      <c r="I609" s="35" t="s">
        <v>10856</v>
      </c>
      <c r="J609" s="36" t="s">
        <v>1893</v>
      </c>
    </row>
    <row r="610" spans="1:10" x14ac:dyDescent="0.25">
      <c r="A610" s="31" t="s">
        <v>1894</v>
      </c>
      <c r="B610" s="31">
        <v>15.0303</v>
      </c>
      <c r="C610" s="32" t="s">
        <v>10857</v>
      </c>
      <c r="D610" s="31" t="s">
        <v>10845</v>
      </c>
      <c r="E610" s="40" t="s">
        <v>10858</v>
      </c>
      <c r="F610" s="38" t="s">
        <v>8954</v>
      </c>
      <c r="G610" s="34" t="s">
        <v>9374</v>
      </c>
      <c r="I610" s="35" t="s">
        <v>10856</v>
      </c>
      <c r="J610" s="36" t="s">
        <v>1894</v>
      </c>
    </row>
    <row r="611" spans="1:10" x14ac:dyDescent="0.25">
      <c r="A611" s="31" t="s">
        <v>499</v>
      </c>
      <c r="B611" s="31">
        <v>15.0304</v>
      </c>
      <c r="C611" s="32" t="s">
        <v>10859</v>
      </c>
      <c r="D611" s="31" t="s">
        <v>10845</v>
      </c>
      <c r="E611" s="40" t="s">
        <v>10860</v>
      </c>
      <c r="F611" s="38" t="s">
        <v>8954</v>
      </c>
      <c r="G611" s="34" t="s">
        <v>9374</v>
      </c>
      <c r="I611" s="35" t="s">
        <v>10856</v>
      </c>
      <c r="J611" s="36" t="s">
        <v>499</v>
      </c>
    </row>
    <row r="612" spans="1:10" x14ac:dyDescent="0.25">
      <c r="A612" s="31" t="s">
        <v>500</v>
      </c>
      <c r="B612" s="31">
        <v>15.0305</v>
      </c>
      <c r="C612" s="32" t="s">
        <v>10861</v>
      </c>
      <c r="D612" s="31" t="s">
        <v>10845</v>
      </c>
      <c r="E612" s="40" t="s">
        <v>10862</v>
      </c>
      <c r="F612" s="38" t="s">
        <v>8954</v>
      </c>
      <c r="G612" s="34" t="s">
        <v>9374</v>
      </c>
      <c r="I612" s="35" t="s">
        <v>10856</v>
      </c>
      <c r="J612" s="36" t="s">
        <v>500</v>
      </c>
    </row>
    <row r="613" spans="1:10" x14ac:dyDescent="0.25">
      <c r="A613" s="31" t="s">
        <v>1895</v>
      </c>
      <c r="B613" s="31">
        <v>15.0306</v>
      </c>
      <c r="C613" s="32" t="s">
        <v>10863</v>
      </c>
      <c r="D613" s="31" t="s">
        <v>10845</v>
      </c>
      <c r="E613" s="40" t="s">
        <v>10864</v>
      </c>
      <c r="F613" s="38" t="s">
        <v>8954</v>
      </c>
      <c r="G613" s="34" t="s">
        <v>9374</v>
      </c>
      <c r="I613" s="35" t="s">
        <v>10856</v>
      </c>
      <c r="J613" s="36" t="s">
        <v>1895</v>
      </c>
    </row>
    <row r="614" spans="1:10" x14ac:dyDescent="0.25">
      <c r="A614" s="31" t="s">
        <v>1896</v>
      </c>
      <c r="B614" s="31">
        <v>15.0307</v>
      </c>
      <c r="C614" s="32" t="s">
        <v>10865</v>
      </c>
      <c r="D614" s="31" t="s">
        <v>10845</v>
      </c>
      <c r="E614" s="40" t="s">
        <v>10866</v>
      </c>
      <c r="F614" s="38" t="s">
        <v>8954</v>
      </c>
      <c r="G614" s="34" t="s">
        <v>9374</v>
      </c>
      <c r="I614" s="35" t="s">
        <v>10856</v>
      </c>
      <c r="J614" s="36" t="s">
        <v>1896</v>
      </c>
    </row>
    <row r="615" spans="1:10" x14ac:dyDescent="0.25">
      <c r="A615" s="31" t="s">
        <v>1897</v>
      </c>
      <c r="B615" s="31">
        <v>15.039899999999999</v>
      </c>
      <c r="C615" s="32" t="s">
        <v>10867</v>
      </c>
      <c r="D615" s="31" t="s">
        <v>10845</v>
      </c>
      <c r="E615" s="40" t="s">
        <v>10868</v>
      </c>
      <c r="F615" s="38" t="s">
        <v>8954</v>
      </c>
      <c r="G615" s="34" t="s">
        <v>9374</v>
      </c>
      <c r="I615" s="35" t="s">
        <v>10856</v>
      </c>
      <c r="J615" s="36" t="s">
        <v>1897</v>
      </c>
    </row>
    <row r="616" spans="1:10" x14ac:dyDescent="0.25">
      <c r="A616" s="31" t="s">
        <v>1898</v>
      </c>
      <c r="B616" s="31">
        <v>15.04</v>
      </c>
      <c r="C616" s="32" t="s">
        <v>10869</v>
      </c>
      <c r="D616" s="31" t="s">
        <v>10845</v>
      </c>
      <c r="E616" s="40" t="s">
        <v>9375</v>
      </c>
      <c r="F616" s="38" t="s">
        <v>8954</v>
      </c>
      <c r="G616" s="34" t="s">
        <v>9375</v>
      </c>
      <c r="H616" s="34" t="s">
        <v>9375</v>
      </c>
      <c r="I616" s="35" t="s">
        <v>10869</v>
      </c>
      <c r="J616" s="36" t="s">
        <v>1898</v>
      </c>
    </row>
    <row r="617" spans="1:10" x14ac:dyDescent="0.25">
      <c r="A617" s="31" t="s">
        <v>501</v>
      </c>
      <c r="B617" s="31">
        <v>15.040100000000001</v>
      </c>
      <c r="C617" s="32" t="s">
        <v>10870</v>
      </c>
      <c r="D617" s="31" t="s">
        <v>10845</v>
      </c>
      <c r="E617" s="40" t="s">
        <v>10871</v>
      </c>
      <c r="F617" s="38" t="s">
        <v>8954</v>
      </c>
      <c r="G617" s="34" t="s">
        <v>9375</v>
      </c>
      <c r="I617" s="35" t="s">
        <v>10869</v>
      </c>
      <c r="J617" s="36" t="s">
        <v>501</v>
      </c>
    </row>
    <row r="618" spans="1:10" x14ac:dyDescent="0.25">
      <c r="A618" s="31" t="s">
        <v>1899</v>
      </c>
      <c r="B618" s="31">
        <v>15.0403</v>
      </c>
      <c r="C618" s="32" t="s">
        <v>10872</v>
      </c>
      <c r="D618" s="31" t="s">
        <v>10845</v>
      </c>
      <c r="E618" s="40" t="s">
        <v>10873</v>
      </c>
      <c r="F618" s="38" t="s">
        <v>8954</v>
      </c>
      <c r="G618" s="34" t="s">
        <v>9375</v>
      </c>
      <c r="I618" s="35" t="s">
        <v>10869</v>
      </c>
      <c r="J618" s="36" t="s">
        <v>1899</v>
      </c>
    </row>
    <row r="619" spans="1:10" x14ac:dyDescent="0.25">
      <c r="A619" s="31" t="s">
        <v>502</v>
      </c>
      <c r="B619" s="31">
        <v>15.0404</v>
      </c>
      <c r="C619" s="32" t="s">
        <v>10874</v>
      </c>
      <c r="D619" s="31" t="s">
        <v>10845</v>
      </c>
      <c r="E619" s="40" t="s">
        <v>10875</v>
      </c>
      <c r="F619" s="38" t="s">
        <v>8954</v>
      </c>
      <c r="G619" s="34" t="s">
        <v>9375</v>
      </c>
      <c r="I619" s="35" t="s">
        <v>10869</v>
      </c>
      <c r="J619" s="36" t="s">
        <v>502</v>
      </c>
    </row>
    <row r="620" spans="1:10" x14ac:dyDescent="0.25">
      <c r="A620" s="31" t="s">
        <v>503</v>
      </c>
      <c r="B620" s="31">
        <v>15.0405</v>
      </c>
      <c r="C620" s="32" t="s">
        <v>10876</v>
      </c>
      <c r="D620" s="31" t="s">
        <v>10845</v>
      </c>
      <c r="E620" s="40" t="s">
        <v>10877</v>
      </c>
      <c r="F620" s="38" t="s">
        <v>8954</v>
      </c>
      <c r="G620" s="34" t="s">
        <v>9375</v>
      </c>
      <c r="I620" s="35" t="s">
        <v>10869</v>
      </c>
      <c r="J620" s="36" t="s">
        <v>503</v>
      </c>
    </row>
    <row r="621" spans="1:10" x14ac:dyDescent="0.25">
      <c r="A621" s="31" t="s">
        <v>504</v>
      </c>
      <c r="B621" s="31">
        <v>15.0406</v>
      </c>
      <c r="C621" s="32" t="s">
        <v>10878</v>
      </c>
      <c r="D621" s="31" t="s">
        <v>10845</v>
      </c>
      <c r="E621" s="40" t="s">
        <v>10879</v>
      </c>
      <c r="F621" s="38" t="s">
        <v>8954</v>
      </c>
      <c r="G621" s="34" t="s">
        <v>9375</v>
      </c>
      <c r="I621" s="35" t="s">
        <v>10869</v>
      </c>
      <c r="J621" s="36" t="s">
        <v>504</v>
      </c>
    </row>
    <row r="622" spans="1:10" x14ac:dyDescent="0.25">
      <c r="A622" s="31" t="s">
        <v>1900</v>
      </c>
      <c r="B622" s="31">
        <v>15.040699999999999</v>
      </c>
      <c r="C622" s="32" t="s">
        <v>10880</v>
      </c>
      <c r="D622" s="31" t="s">
        <v>10845</v>
      </c>
      <c r="E622" s="40" t="s">
        <v>10881</v>
      </c>
      <c r="F622" s="38" t="s">
        <v>8954</v>
      </c>
      <c r="G622" s="34" t="s">
        <v>9375</v>
      </c>
      <c r="I622" s="35" t="s">
        <v>10869</v>
      </c>
      <c r="J622" s="36" t="s">
        <v>1900</v>
      </c>
    </row>
    <row r="623" spans="1:10" x14ac:dyDescent="0.25">
      <c r="A623" s="31" t="s">
        <v>1901</v>
      </c>
      <c r="B623" s="31">
        <v>15.049899999999999</v>
      </c>
      <c r="C623" s="32" t="s">
        <v>10882</v>
      </c>
      <c r="D623" s="31" t="s">
        <v>10845</v>
      </c>
      <c r="E623" s="40" t="s">
        <v>10883</v>
      </c>
      <c r="F623" s="38" t="s">
        <v>8954</v>
      </c>
      <c r="G623" s="34" t="s">
        <v>9375</v>
      </c>
      <c r="I623" s="35" t="s">
        <v>10869</v>
      </c>
      <c r="J623" s="36" t="s">
        <v>1901</v>
      </c>
    </row>
    <row r="624" spans="1:10" x14ac:dyDescent="0.25">
      <c r="A624" s="31" t="s">
        <v>505</v>
      </c>
      <c r="B624" s="31">
        <v>15.05</v>
      </c>
      <c r="C624" s="32" t="s">
        <v>10884</v>
      </c>
      <c r="D624" s="31" t="s">
        <v>10845</v>
      </c>
      <c r="E624" s="40" t="s">
        <v>9376</v>
      </c>
      <c r="F624" s="38" t="s">
        <v>8954</v>
      </c>
      <c r="G624" s="34" t="s">
        <v>9376</v>
      </c>
      <c r="H624" s="34" t="s">
        <v>9376</v>
      </c>
      <c r="I624" s="35" t="s">
        <v>10884</v>
      </c>
      <c r="J624" s="36" t="s">
        <v>505</v>
      </c>
    </row>
    <row r="625" spans="1:10" x14ac:dyDescent="0.25">
      <c r="A625" s="31" t="s">
        <v>506</v>
      </c>
      <c r="B625" s="31">
        <v>15.0501</v>
      </c>
      <c r="C625" s="32" t="s">
        <v>10885</v>
      </c>
      <c r="D625" s="31" t="s">
        <v>10845</v>
      </c>
      <c r="E625" s="40" t="s">
        <v>10886</v>
      </c>
      <c r="F625" s="38" t="s">
        <v>8954</v>
      </c>
      <c r="G625" s="34" t="s">
        <v>9376</v>
      </c>
      <c r="I625" s="35" t="s">
        <v>10884</v>
      </c>
      <c r="J625" s="36" t="s">
        <v>506</v>
      </c>
    </row>
    <row r="626" spans="1:10" x14ac:dyDescent="0.25">
      <c r="A626" s="31" t="s">
        <v>507</v>
      </c>
      <c r="B626" s="31">
        <v>15.0503</v>
      </c>
      <c r="C626" s="32" t="s">
        <v>10887</v>
      </c>
      <c r="D626" s="31" t="s">
        <v>10845</v>
      </c>
      <c r="E626" s="40" t="s">
        <v>10888</v>
      </c>
      <c r="F626" s="38" t="s">
        <v>8954</v>
      </c>
      <c r="G626" s="34" t="s">
        <v>9376</v>
      </c>
      <c r="I626" s="35" t="s">
        <v>10884</v>
      </c>
      <c r="J626" s="36" t="s">
        <v>507</v>
      </c>
    </row>
    <row r="627" spans="1:10" x14ac:dyDescent="0.25">
      <c r="A627" s="31" t="s">
        <v>508</v>
      </c>
      <c r="B627" s="31">
        <v>15.0505</v>
      </c>
      <c r="C627" s="32" t="s">
        <v>10889</v>
      </c>
      <c r="D627" s="31" t="s">
        <v>10845</v>
      </c>
      <c r="E627" s="40" t="s">
        <v>10890</v>
      </c>
      <c r="F627" s="38" t="s">
        <v>8954</v>
      </c>
      <c r="G627" s="34" t="s">
        <v>9376</v>
      </c>
      <c r="I627" s="35" t="s">
        <v>10884</v>
      </c>
      <c r="J627" s="36" t="s">
        <v>508</v>
      </c>
    </row>
    <row r="628" spans="1:10" x14ac:dyDescent="0.25">
      <c r="A628" s="31" t="s">
        <v>509</v>
      </c>
      <c r="B628" s="31">
        <v>15.050599999999999</v>
      </c>
      <c r="C628" s="32" t="s">
        <v>10891</v>
      </c>
      <c r="D628" s="31" t="s">
        <v>10845</v>
      </c>
      <c r="E628" s="40" t="s">
        <v>10892</v>
      </c>
      <c r="F628" s="38" t="s">
        <v>8954</v>
      </c>
      <c r="G628" s="34" t="s">
        <v>9376</v>
      </c>
      <c r="I628" s="35" t="s">
        <v>10884</v>
      </c>
      <c r="J628" s="36" t="s">
        <v>509</v>
      </c>
    </row>
    <row r="629" spans="1:10" x14ac:dyDescent="0.25">
      <c r="A629" s="31" t="s">
        <v>1902</v>
      </c>
      <c r="B629" s="31">
        <v>15.050700000000001</v>
      </c>
      <c r="C629" s="32" t="s">
        <v>10893</v>
      </c>
      <c r="D629" s="31" t="s">
        <v>10845</v>
      </c>
      <c r="E629" s="40" t="s">
        <v>10894</v>
      </c>
      <c r="F629" s="38" t="s">
        <v>8954</v>
      </c>
      <c r="G629" s="34" t="s">
        <v>9376</v>
      </c>
      <c r="I629" s="35" t="s">
        <v>10884</v>
      </c>
      <c r="J629" s="36" t="s">
        <v>1902</v>
      </c>
    </row>
    <row r="630" spans="1:10" x14ac:dyDescent="0.25">
      <c r="A630" s="31" t="s">
        <v>510</v>
      </c>
      <c r="B630" s="31">
        <v>15.050800000000001</v>
      </c>
      <c r="C630" s="32" t="s">
        <v>10895</v>
      </c>
      <c r="D630" s="31" t="s">
        <v>10845</v>
      </c>
      <c r="E630" s="40" t="s">
        <v>10896</v>
      </c>
      <c r="F630" s="38" t="s">
        <v>8954</v>
      </c>
      <c r="G630" s="34" t="s">
        <v>9376</v>
      </c>
      <c r="I630" s="35" t="s">
        <v>10884</v>
      </c>
      <c r="J630" s="36" t="s">
        <v>510</v>
      </c>
    </row>
    <row r="631" spans="1:10" x14ac:dyDescent="0.25">
      <c r="A631" s="31" t="s">
        <v>511</v>
      </c>
      <c r="B631" s="31">
        <v>15.059900000000001</v>
      </c>
      <c r="C631" s="32" t="s">
        <v>10897</v>
      </c>
      <c r="D631" s="31" t="s">
        <v>10845</v>
      </c>
      <c r="E631" s="40" t="s">
        <v>10898</v>
      </c>
      <c r="F631" s="38" t="s">
        <v>8954</v>
      </c>
      <c r="G631" s="34" t="s">
        <v>9376</v>
      </c>
      <c r="I631" s="35" t="s">
        <v>10884</v>
      </c>
      <c r="J631" s="36" t="s">
        <v>511</v>
      </c>
    </row>
    <row r="632" spans="1:10" x14ac:dyDescent="0.25">
      <c r="A632" s="31" t="s">
        <v>512</v>
      </c>
      <c r="B632" s="31">
        <v>15.06</v>
      </c>
      <c r="C632" s="32" t="s">
        <v>10899</v>
      </c>
      <c r="D632" s="31" t="s">
        <v>10845</v>
      </c>
      <c r="E632" s="40" t="s">
        <v>9377</v>
      </c>
      <c r="F632" s="38" t="s">
        <v>8954</v>
      </c>
      <c r="G632" s="34" t="s">
        <v>9377</v>
      </c>
      <c r="H632" s="34" t="s">
        <v>9377</v>
      </c>
      <c r="I632" s="35" t="s">
        <v>10899</v>
      </c>
      <c r="J632" s="36" t="s">
        <v>512</v>
      </c>
    </row>
    <row r="633" spans="1:10" x14ac:dyDescent="0.25">
      <c r="A633" s="31" t="s">
        <v>513</v>
      </c>
      <c r="B633" s="31">
        <v>15.060700000000001</v>
      </c>
      <c r="C633" s="32" t="s">
        <v>10900</v>
      </c>
      <c r="D633" s="31" t="s">
        <v>10845</v>
      </c>
      <c r="E633" s="40" t="s">
        <v>10901</v>
      </c>
      <c r="F633" s="38" t="s">
        <v>8954</v>
      </c>
      <c r="G633" s="34" t="s">
        <v>9377</v>
      </c>
      <c r="I633" s="35" t="s">
        <v>10899</v>
      </c>
      <c r="J633" s="36" t="s">
        <v>513</v>
      </c>
    </row>
    <row r="634" spans="1:10" x14ac:dyDescent="0.25">
      <c r="A634" s="31" t="s">
        <v>514</v>
      </c>
      <c r="B634" s="31">
        <v>15.0611</v>
      </c>
      <c r="C634" s="32" t="s">
        <v>10902</v>
      </c>
      <c r="D634" s="31" t="s">
        <v>10845</v>
      </c>
      <c r="E634" s="40" t="s">
        <v>10903</v>
      </c>
      <c r="F634" s="38" t="s">
        <v>8954</v>
      </c>
      <c r="G634" s="34" t="s">
        <v>9377</v>
      </c>
      <c r="I634" s="35" t="s">
        <v>10899</v>
      </c>
      <c r="J634" s="36" t="s">
        <v>514</v>
      </c>
    </row>
    <row r="635" spans="1:10" x14ac:dyDescent="0.25">
      <c r="A635" s="31" t="s">
        <v>515</v>
      </c>
      <c r="B635" s="31">
        <v>15.061199999999999</v>
      </c>
      <c r="C635" s="32" t="s">
        <v>10904</v>
      </c>
      <c r="D635" s="31" t="s">
        <v>10845</v>
      </c>
      <c r="E635" s="40" t="s">
        <v>10905</v>
      </c>
      <c r="F635" s="38" t="s">
        <v>8954</v>
      </c>
      <c r="G635" s="34" t="s">
        <v>9377</v>
      </c>
      <c r="I635" s="35" t="s">
        <v>10899</v>
      </c>
      <c r="J635" s="36" t="s">
        <v>515</v>
      </c>
    </row>
    <row r="636" spans="1:10" x14ac:dyDescent="0.25">
      <c r="A636" s="31" t="s">
        <v>516</v>
      </c>
      <c r="B636" s="31">
        <v>15.061299999999999</v>
      </c>
      <c r="C636" s="32" t="s">
        <v>10906</v>
      </c>
      <c r="D636" s="31" t="s">
        <v>10845</v>
      </c>
      <c r="E636" s="40" t="s">
        <v>10907</v>
      </c>
      <c r="F636" s="38" t="s">
        <v>8954</v>
      </c>
      <c r="G636" s="34" t="s">
        <v>9377</v>
      </c>
      <c r="I636" s="35" t="s">
        <v>10899</v>
      </c>
      <c r="J636" s="36" t="s">
        <v>516</v>
      </c>
    </row>
    <row r="637" spans="1:10" x14ac:dyDescent="0.25">
      <c r="A637" s="31" t="s">
        <v>517</v>
      </c>
      <c r="B637" s="31">
        <v>15.061400000000001</v>
      </c>
      <c r="C637" s="32" t="s">
        <v>10908</v>
      </c>
      <c r="D637" s="31" t="s">
        <v>10845</v>
      </c>
      <c r="E637" s="40" t="s">
        <v>10909</v>
      </c>
      <c r="F637" s="38" t="s">
        <v>8954</v>
      </c>
      <c r="G637" s="34" t="s">
        <v>9377</v>
      </c>
      <c r="I637" s="35" t="s">
        <v>10899</v>
      </c>
      <c r="J637" s="36" t="s">
        <v>517</v>
      </c>
    </row>
    <row r="638" spans="1:10" x14ac:dyDescent="0.25">
      <c r="A638" s="31" t="s">
        <v>518</v>
      </c>
      <c r="B638" s="31">
        <v>15.061500000000001</v>
      </c>
      <c r="C638" s="32" t="s">
        <v>10910</v>
      </c>
      <c r="D638" s="31" t="s">
        <v>10845</v>
      </c>
      <c r="E638" s="40" t="s">
        <v>10911</v>
      </c>
      <c r="F638" s="38" t="s">
        <v>8954</v>
      </c>
      <c r="G638" s="34" t="s">
        <v>9377</v>
      </c>
      <c r="I638" s="35" t="s">
        <v>10899</v>
      </c>
      <c r="J638" s="36" t="s">
        <v>518</v>
      </c>
    </row>
    <row r="639" spans="1:10" x14ac:dyDescent="0.25">
      <c r="A639" s="31" t="s">
        <v>1903</v>
      </c>
      <c r="B639" s="31">
        <v>15.0616</v>
      </c>
      <c r="C639" s="32" t="s">
        <v>10912</v>
      </c>
      <c r="D639" s="31" t="s">
        <v>10845</v>
      </c>
      <c r="E639" s="40" t="s">
        <v>10913</v>
      </c>
      <c r="F639" s="38" t="s">
        <v>8954</v>
      </c>
      <c r="G639" s="34" t="s">
        <v>9377</v>
      </c>
      <c r="I639" s="35" t="s">
        <v>10899</v>
      </c>
      <c r="J639" s="36" t="s">
        <v>1903</v>
      </c>
    </row>
    <row r="640" spans="1:10" x14ac:dyDescent="0.25">
      <c r="A640" s="31" t="s">
        <v>1904</v>
      </c>
      <c r="B640" s="31">
        <v>15.0617</v>
      </c>
      <c r="C640" s="32" t="s">
        <v>10914</v>
      </c>
      <c r="D640" s="31" t="s">
        <v>10845</v>
      </c>
      <c r="E640" s="40" t="s">
        <v>10915</v>
      </c>
      <c r="F640" s="38" t="s">
        <v>8954</v>
      </c>
      <c r="G640" s="34" t="s">
        <v>9377</v>
      </c>
      <c r="I640" s="35" t="s">
        <v>10899</v>
      </c>
      <c r="J640" s="36" t="s">
        <v>1904</v>
      </c>
    </row>
    <row r="641" spans="1:10" x14ac:dyDescent="0.25">
      <c r="A641" s="31" t="s">
        <v>519</v>
      </c>
      <c r="B641" s="31">
        <v>15.069900000000001</v>
      </c>
      <c r="C641" s="32" t="s">
        <v>10916</v>
      </c>
      <c r="D641" s="31" t="s">
        <v>10845</v>
      </c>
      <c r="E641" s="40" t="s">
        <v>10917</v>
      </c>
      <c r="F641" s="38" t="s">
        <v>8954</v>
      </c>
      <c r="G641" s="34" t="s">
        <v>9377</v>
      </c>
      <c r="I641" s="35" t="s">
        <v>10899</v>
      </c>
      <c r="J641" s="36" t="s">
        <v>519</v>
      </c>
    </row>
    <row r="642" spans="1:10" x14ac:dyDescent="0.25">
      <c r="A642" s="31" t="s">
        <v>520</v>
      </c>
      <c r="B642" s="31">
        <v>15.07</v>
      </c>
      <c r="C642" s="32" t="s">
        <v>10918</v>
      </c>
      <c r="D642" s="31" t="s">
        <v>10845</v>
      </c>
      <c r="E642" s="40" t="s">
        <v>9378</v>
      </c>
      <c r="F642" s="38" t="s">
        <v>8954</v>
      </c>
      <c r="G642" s="34" t="s">
        <v>9378</v>
      </c>
      <c r="H642" s="34" t="s">
        <v>9378</v>
      </c>
      <c r="I642" s="35" t="s">
        <v>10918</v>
      </c>
      <c r="J642" s="36" t="s">
        <v>520</v>
      </c>
    </row>
    <row r="643" spans="1:10" x14ac:dyDescent="0.25">
      <c r="A643" s="31" t="s">
        <v>521</v>
      </c>
      <c r="B643" s="31">
        <v>15.0701</v>
      </c>
      <c r="C643" s="32" t="s">
        <v>10919</v>
      </c>
      <c r="D643" s="31" t="s">
        <v>10845</v>
      </c>
      <c r="E643" s="40" t="s">
        <v>10920</v>
      </c>
      <c r="F643" s="38" t="s">
        <v>8954</v>
      </c>
      <c r="G643" s="34" t="s">
        <v>9378</v>
      </c>
      <c r="I643" s="35" t="s">
        <v>10918</v>
      </c>
      <c r="J643" s="36" t="s">
        <v>521</v>
      </c>
    </row>
    <row r="644" spans="1:10" x14ac:dyDescent="0.25">
      <c r="A644" s="31" t="s">
        <v>522</v>
      </c>
      <c r="B644" s="31">
        <v>15.0702</v>
      </c>
      <c r="C644" s="32" t="s">
        <v>10921</v>
      </c>
      <c r="D644" s="31" t="s">
        <v>10845</v>
      </c>
      <c r="E644" s="40" t="s">
        <v>10922</v>
      </c>
      <c r="F644" s="38" t="s">
        <v>8954</v>
      </c>
      <c r="G644" s="34" t="s">
        <v>9378</v>
      </c>
      <c r="I644" s="35" t="s">
        <v>10918</v>
      </c>
      <c r="J644" s="36" t="s">
        <v>522</v>
      </c>
    </row>
    <row r="645" spans="1:10" x14ac:dyDescent="0.25">
      <c r="A645" s="31" t="s">
        <v>523</v>
      </c>
      <c r="B645" s="31">
        <v>15.0703</v>
      </c>
      <c r="C645" s="32" t="s">
        <v>10923</v>
      </c>
      <c r="D645" s="31" t="s">
        <v>10845</v>
      </c>
      <c r="E645" s="40" t="s">
        <v>10924</v>
      </c>
      <c r="F645" s="38" t="s">
        <v>8954</v>
      </c>
      <c r="G645" s="34" t="s">
        <v>9378</v>
      </c>
      <c r="I645" s="35" t="s">
        <v>10918</v>
      </c>
      <c r="J645" s="36" t="s">
        <v>523</v>
      </c>
    </row>
    <row r="646" spans="1:10" x14ac:dyDescent="0.25">
      <c r="A646" s="31" t="s">
        <v>524</v>
      </c>
      <c r="B646" s="31">
        <v>15.070399999999999</v>
      </c>
      <c r="C646" s="32" t="s">
        <v>10925</v>
      </c>
      <c r="D646" s="31" t="s">
        <v>10845</v>
      </c>
      <c r="E646" s="40" t="s">
        <v>10926</v>
      </c>
      <c r="F646" s="38" t="s">
        <v>8954</v>
      </c>
      <c r="G646" s="34" t="s">
        <v>9378</v>
      </c>
      <c r="I646" s="35" t="s">
        <v>10918</v>
      </c>
      <c r="J646" s="36" t="s">
        <v>524</v>
      </c>
    </row>
    <row r="647" spans="1:10" x14ac:dyDescent="0.25">
      <c r="A647" s="31" t="s">
        <v>1905</v>
      </c>
      <c r="B647" s="31">
        <v>15.070499999999999</v>
      </c>
      <c r="C647" s="32" t="s">
        <v>10927</v>
      </c>
      <c r="D647" s="31" t="s">
        <v>10845</v>
      </c>
      <c r="E647" s="40" t="s">
        <v>10928</v>
      </c>
      <c r="F647" s="38" t="s">
        <v>8954</v>
      </c>
      <c r="G647" s="34" t="s">
        <v>9378</v>
      </c>
      <c r="I647" s="35" t="s">
        <v>10918</v>
      </c>
      <c r="J647" s="36" t="s">
        <v>1905</v>
      </c>
    </row>
    <row r="648" spans="1:10" x14ac:dyDescent="0.25">
      <c r="A648" s="31" t="s">
        <v>525</v>
      </c>
      <c r="B648" s="31">
        <v>15.0799</v>
      </c>
      <c r="C648" s="32" t="s">
        <v>10929</v>
      </c>
      <c r="D648" s="31" t="s">
        <v>10845</v>
      </c>
      <c r="E648" s="40" t="s">
        <v>10930</v>
      </c>
      <c r="F648" s="38" t="s">
        <v>8954</v>
      </c>
      <c r="G648" s="34" t="s">
        <v>9378</v>
      </c>
      <c r="I648" s="35" t="s">
        <v>10918</v>
      </c>
      <c r="J648" s="36" t="s">
        <v>525</v>
      </c>
    </row>
    <row r="649" spans="1:10" x14ac:dyDescent="0.25">
      <c r="A649" s="31" t="s">
        <v>526</v>
      </c>
      <c r="B649" s="31">
        <v>15.08</v>
      </c>
      <c r="C649" s="32" t="s">
        <v>10931</v>
      </c>
      <c r="D649" s="31" t="s">
        <v>10845</v>
      </c>
      <c r="E649" s="40" t="s">
        <v>9379</v>
      </c>
      <c r="F649" s="38" t="s">
        <v>8954</v>
      </c>
      <c r="G649" s="34" t="s">
        <v>9379</v>
      </c>
      <c r="H649" s="34" t="s">
        <v>9379</v>
      </c>
      <c r="I649" s="35" t="s">
        <v>10931</v>
      </c>
      <c r="J649" s="36" t="s">
        <v>526</v>
      </c>
    </row>
    <row r="650" spans="1:10" x14ac:dyDescent="0.25">
      <c r="A650" s="31" t="s">
        <v>527</v>
      </c>
      <c r="B650" s="31">
        <v>15.0801</v>
      </c>
      <c r="C650" s="32" t="s">
        <v>10932</v>
      </c>
      <c r="D650" s="31" t="s">
        <v>10845</v>
      </c>
      <c r="E650" s="40" t="s">
        <v>10933</v>
      </c>
      <c r="F650" s="38" t="s">
        <v>8954</v>
      </c>
      <c r="G650" s="34" t="s">
        <v>9379</v>
      </c>
      <c r="I650" s="35" t="s">
        <v>10931</v>
      </c>
      <c r="J650" s="36" t="s">
        <v>527</v>
      </c>
    </row>
    <row r="651" spans="1:10" x14ac:dyDescent="0.25">
      <c r="A651" s="31" t="s">
        <v>528</v>
      </c>
      <c r="B651" s="31">
        <v>15.080299999999999</v>
      </c>
      <c r="C651" s="32" t="s">
        <v>10934</v>
      </c>
      <c r="D651" s="31" t="s">
        <v>10845</v>
      </c>
      <c r="E651" s="40" t="s">
        <v>10935</v>
      </c>
      <c r="F651" s="38" t="s">
        <v>8954</v>
      </c>
      <c r="G651" s="34" t="s">
        <v>9379</v>
      </c>
      <c r="I651" s="35" t="s">
        <v>10931</v>
      </c>
      <c r="J651" s="36" t="s">
        <v>528</v>
      </c>
    </row>
    <row r="652" spans="1:10" x14ac:dyDescent="0.25">
      <c r="A652" s="31" t="s">
        <v>1906</v>
      </c>
      <c r="B652" s="31">
        <v>15.080500000000001</v>
      </c>
      <c r="C652" s="32" t="s">
        <v>10936</v>
      </c>
      <c r="D652" s="31" t="s">
        <v>10845</v>
      </c>
      <c r="E652" s="40" t="s">
        <v>10937</v>
      </c>
      <c r="F652" s="38" t="s">
        <v>8954</v>
      </c>
      <c r="G652" s="34" t="s">
        <v>9379</v>
      </c>
      <c r="I652" s="35" t="s">
        <v>10931</v>
      </c>
      <c r="J652" s="36" t="s">
        <v>1906</v>
      </c>
    </row>
    <row r="653" spans="1:10" x14ac:dyDescent="0.25">
      <c r="A653" s="31" t="s">
        <v>1907</v>
      </c>
      <c r="B653" s="31">
        <v>15.0806</v>
      </c>
      <c r="C653" s="32" t="s">
        <v>10938</v>
      </c>
      <c r="D653" s="31" t="s">
        <v>10845</v>
      </c>
      <c r="E653" s="40" t="s">
        <v>10939</v>
      </c>
      <c r="F653" s="38" t="s">
        <v>8954</v>
      </c>
      <c r="G653" s="34" t="s">
        <v>9379</v>
      </c>
      <c r="I653" s="35" t="s">
        <v>10931</v>
      </c>
      <c r="J653" s="36" t="s">
        <v>1907</v>
      </c>
    </row>
    <row r="654" spans="1:10" x14ac:dyDescent="0.25">
      <c r="A654" s="31" t="s">
        <v>1908</v>
      </c>
      <c r="B654" s="31">
        <v>15.0807</v>
      </c>
      <c r="C654" s="32" t="s">
        <v>10940</v>
      </c>
      <c r="D654" s="31" t="s">
        <v>10845</v>
      </c>
      <c r="E654" s="40" t="s">
        <v>10941</v>
      </c>
      <c r="F654" s="38" t="s">
        <v>8954</v>
      </c>
      <c r="G654" s="34" t="s">
        <v>9379</v>
      </c>
      <c r="I654" s="35" t="s">
        <v>10931</v>
      </c>
      <c r="J654" s="36" t="s">
        <v>1908</v>
      </c>
    </row>
    <row r="655" spans="1:10" x14ac:dyDescent="0.25">
      <c r="A655" s="31" t="s">
        <v>529</v>
      </c>
      <c r="B655" s="31">
        <v>15.0899</v>
      </c>
      <c r="C655" s="32" t="s">
        <v>10942</v>
      </c>
      <c r="D655" s="31" t="s">
        <v>10845</v>
      </c>
      <c r="E655" s="40" t="s">
        <v>10943</v>
      </c>
      <c r="F655" s="38" t="s">
        <v>8954</v>
      </c>
      <c r="G655" s="34" t="s">
        <v>9379</v>
      </c>
      <c r="I655" s="35" t="s">
        <v>10931</v>
      </c>
      <c r="J655" s="36" t="s">
        <v>529</v>
      </c>
    </row>
    <row r="656" spans="1:10" x14ac:dyDescent="0.25">
      <c r="A656" s="31" t="s">
        <v>530</v>
      </c>
      <c r="B656" s="31">
        <v>15.09</v>
      </c>
      <c r="C656" s="32" t="s">
        <v>10944</v>
      </c>
      <c r="D656" s="31" t="s">
        <v>10845</v>
      </c>
      <c r="E656" s="40" t="s">
        <v>9380</v>
      </c>
      <c r="F656" s="38" t="s">
        <v>8954</v>
      </c>
      <c r="G656" s="34" t="s">
        <v>9380</v>
      </c>
      <c r="H656" s="34" t="s">
        <v>9380</v>
      </c>
      <c r="I656" s="35" t="s">
        <v>10944</v>
      </c>
      <c r="J656" s="36" t="s">
        <v>530</v>
      </c>
    </row>
    <row r="657" spans="1:10" x14ac:dyDescent="0.25">
      <c r="A657" s="31" t="s">
        <v>531</v>
      </c>
      <c r="B657" s="31">
        <v>15.0901</v>
      </c>
      <c r="C657" s="32" t="s">
        <v>10945</v>
      </c>
      <c r="D657" s="31" t="s">
        <v>10845</v>
      </c>
      <c r="E657" s="40" t="s">
        <v>10946</v>
      </c>
      <c r="F657" s="38" t="s">
        <v>8954</v>
      </c>
      <c r="G657" s="34" t="s">
        <v>9380</v>
      </c>
      <c r="I657" s="35" t="s">
        <v>10944</v>
      </c>
      <c r="J657" s="36" t="s">
        <v>531</v>
      </c>
    </row>
    <row r="658" spans="1:10" x14ac:dyDescent="0.25">
      <c r="A658" s="31" t="s">
        <v>532</v>
      </c>
      <c r="B658" s="31">
        <v>15.090299999999999</v>
      </c>
      <c r="C658" s="32" t="s">
        <v>10947</v>
      </c>
      <c r="D658" s="31" t="s">
        <v>10845</v>
      </c>
      <c r="E658" s="40" t="s">
        <v>10948</v>
      </c>
      <c r="F658" s="38" t="s">
        <v>8954</v>
      </c>
      <c r="G658" s="34" t="s">
        <v>9380</v>
      </c>
      <c r="I658" s="35" t="s">
        <v>10944</v>
      </c>
      <c r="J658" s="36" t="s">
        <v>532</v>
      </c>
    </row>
    <row r="659" spans="1:10" x14ac:dyDescent="0.25">
      <c r="A659" s="31" t="s">
        <v>533</v>
      </c>
      <c r="B659" s="31">
        <v>15.0999</v>
      </c>
      <c r="C659" s="32" t="s">
        <v>10949</v>
      </c>
      <c r="D659" s="31" t="s">
        <v>10845</v>
      </c>
      <c r="E659" s="40" t="s">
        <v>10950</v>
      </c>
      <c r="F659" s="38" t="s">
        <v>8954</v>
      </c>
      <c r="G659" s="34" t="s">
        <v>9380</v>
      </c>
      <c r="I659" s="35" t="s">
        <v>10944</v>
      </c>
      <c r="J659" s="36" t="s">
        <v>533</v>
      </c>
    </row>
    <row r="660" spans="1:10" x14ac:dyDescent="0.25">
      <c r="A660" s="31" t="s">
        <v>1909</v>
      </c>
      <c r="B660" s="31">
        <v>15.1</v>
      </c>
      <c r="C660" s="32" t="s">
        <v>10951</v>
      </c>
      <c r="D660" s="31" t="s">
        <v>10845</v>
      </c>
      <c r="E660" s="40" t="s">
        <v>9381</v>
      </c>
      <c r="F660" s="38" t="s">
        <v>8954</v>
      </c>
      <c r="G660" s="34" t="s">
        <v>9381</v>
      </c>
      <c r="H660" s="34" t="s">
        <v>9381</v>
      </c>
      <c r="I660" s="35" t="s">
        <v>10951</v>
      </c>
      <c r="J660" s="36" t="s">
        <v>1909</v>
      </c>
    </row>
    <row r="661" spans="1:10" x14ac:dyDescent="0.25">
      <c r="A661" s="31" t="s">
        <v>1909</v>
      </c>
      <c r="B661" s="31">
        <v>15.100099999999999</v>
      </c>
      <c r="C661" s="32" t="s">
        <v>10952</v>
      </c>
      <c r="D661" s="31" t="s">
        <v>10845</v>
      </c>
      <c r="E661" s="40" t="s">
        <v>10953</v>
      </c>
      <c r="F661" s="38" t="s">
        <v>8954</v>
      </c>
      <c r="G661" s="34" t="s">
        <v>9381</v>
      </c>
      <c r="I661" s="35" t="s">
        <v>10951</v>
      </c>
      <c r="J661" s="36" t="s">
        <v>1909</v>
      </c>
    </row>
    <row r="662" spans="1:10" x14ac:dyDescent="0.25">
      <c r="A662" s="31" t="s">
        <v>1910</v>
      </c>
      <c r="B662" s="31">
        <v>15.11</v>
      </c>
      <c r="C662" s="32" t="s">
        <v>10954</v>
      </c>
      <c r="D662" s="31" t="s">
        <v>10845</v>
      </c>
      <c r="E662" s="40" t="s">
        <v>9382</v>
      </c>
      <c r="F662" s="38" t="s">
        <v>8954</v>
      </c>
      <c r="G662" s="34" t="s">
        <v>9382</v>
      </c>
      <c r="H662" s="34" t="s">
        <v>9382</v>
      </c>
      <c r="I662" s="35" t="s">
        <v>10954</v>
      </c>
      <c r="J662" s="36" t="s">
        <v>1910</v>
      </c>
    </row>
    <row r="663" spans="1:10" x14ac:dyDescent="0.25">
      <c r="A663" s="31" t="s">
        <v>534</v>
      </c>
      <c r="B663" s="31">
        <v>15.110200000000001</v>
      </c>
      <c r="C663" s="32" t="s">
        <v>10955</v>
      </c>
      <c r="D663" s="31" t="s">
        <v>10845</v>
      </c>
      <c r="E663" s="40" t="s">
        <v>10956</v>
      </c>
      <c r="F663" s="38" t="s">
        <v>8954</v>
      </c>
      <c r="G663" s="34" t="s">
        <v>9382</v>
      </c>
      <c r="I663" s="35" t="s">
        <v>10954</v>
      </c>
      <c r="J663" s="36" t="s">
        <v>534</v>
      </c>
    </row>
    <row r="664" spans="1:10" x14ac:dyDescent="0.25">
      <c r="A664" s="31" t="s">
        <v>535</v>
      </c>
      <c r="B664" s="31">
        <v>15.110300000000001</v>
      </c>
      <c r="C664" s="32" t="s">
        <v>10957</v>
      </c>
      <c r="D664" s="31" t="s">
        <v>10845</v>
      </c>
      <c r="E664" s="40" t="s">
        <v>10958</v>
      </c>
      <c r="F664" s="38" t="s">
        <v>8954</v>
      </c>
      <c r="G664" s="34" t="s">
        <v>9382</v>
      </c>
      <c r="I664" s="35" t="s">
        <v>10954</v>
      </c>
      <c r="J664" s="36" t="s">
        <v>535</v>
      </c>
    </row>
    <row r="665" spans="1:10" x14ac:dyDescent="0.25">
      <c r="A665" s="31" t="s">
        <v>1911</v>
      </c>
      <c r="B665" s="31">
        <v>15.119899999999999</v>
      </c>
      <c r="C665" s="32" t="s">
        <v>10959</v>
      </c>
      <c r="D665" s="31" t="s">
        <v>10845</v>
      </c>
      <c r="E665" s="40" t="s">
        <v>10960</v>
      </c>
      <c r="F665" s="38" t="s">
        <v>8954</v>
      </c>
      <c r="G665" s="34" t="s">
        <v>9382</v>
      </c>
      <c r="I665" s="35" t="s">
        <v>10954</v>
      </c>
      <c r="J665" s="36" t="s">
        <v>1911</v>
      </c>
    </row>
    <row r="666" spans="1:10" x14ac:dyDescent="0.25">
      <c r="A666" s="31" t="s">
        <v>536</v>
      </c>
      <c r="B666" s="31">
        <v>15.12</v>
      </c>
      <c r="C666" s="32" t="s">
        <v>10961</v>
      </c>
      <c r="D666" s="31" t="s">
        <v>10845</v>
      </c>
      <c r="E666" s="40" t="s">
        <v>9383</v>
      </c>
      <c r="F666" s="38" t="s">
        <v>8954</v>
      </c>
      <c r="G666" s="34" t="s">
        <v>9383</v>
      </c>
      <c r="H666" s="34" t="s">
        <v>9383</v>
      </c>
      <c r="I666" s="35" t="s">
        <v>10961</v>
      </c>
      <c r="J666" s="36" t="s">
        <v>536</v>
      </c>
    </row>
    <row r="667" spans="1:10" x14ac:dyDescent="0.25">
      <c r="A667" s="31" t="s">
        <v>537</v>
      </c>
      <c r="B667" s="31">
        <v>15.120100000000001</v>
      </c>
      <c r="C667" s="32" t="s">
        <v>10962</v>
      </c>
      <c r="D667" s="31" t="s">
        <v>10845</v>
      </c>
      <c r="E667" s="40" t="s">
        <v>10963</v>
      </c>
      <c r="F667" s="38" t="s">
        <v>8954</v>
      </c>
      <c r="G667" s="34" t="s">
        <v>9383</v>
      </c>
      <c r="I667" s="35" t="s">
        <v>10961</v>
      </c>
      <c r="J667" s="36" t="s">
        <v>537</v>
      </c>
    </row>
    <row r="668" spans="1:10" x14ac:dyDescent="0.25">
      <c r="A668" s="31" t="s">
        <v>1912</v>
      </c>
      <c r="B668" s="31">
        <v>15.120200000000001</v>
      </c>
      <c r="C668" s="32" t="s">
        <v>10964</v>
      </c>
      <c r="D668" s="31" t="s">
        <v>10845</v>
      </c>
      <c r="E668" s="40" t="s">
        <v>10965</v>
      </c>
      <c r="F668" s="38" t="s">
        <v>8954</v>
      </c>
      <c r="G668" s="34" t="s">
        <v>9383</v>
      </c>
      <c r="I668" s="35" t="s">
        <v>10961</v>
      </c>
      <c r="J668" s="36" t="s">
        <v>1912</v>
      </c>
    </row>
    <row r="669" spans="1:10" x14ac:dyDescent="0.25">
      <c r="A669" s="31" t="s">
        <v>538</v>
      </c>
      <c r="B669" s="31">
        <v>15.1203</v>
      </c>
      <c r="C669" s="32" t="s">
        <v>10966</v>
      </c>
      <c r="D669" s="31" t="s">
        <v>10845</v>
      </c>
      <c r="E669" s="40" t="s">
        <v>10967</v>
      </c>
      <c r="F669" s="38" t="s">
        <v>8954</v>
      </c>
      <c r="G669" s="34" t="s">
        <v>9383</v>
      </c>
      <c r="I669" s="35" t="s">
        <v>10961</v>
      </c>
      <c r="J669" s="36" t="s">
        <v>538</v>
      </c>
    </row>
    <row r="670" spans="1:10" x14ac:dyDescent="0.25">
      <c r="A670" s="31" t="s">
        <v>539</v>
      </c>
      <c r="B670" s="31">
        <v>15.1204</v>
      </c>
      <c r="C670" s="32" t="s">
        <v>10968</v>
      </c>
      <c r="D670" s="31" t="s">
        <v>10845</v>
      </c>
      <c r="E670" s="40" t="s">
        <v>10969</v>
      </c>
      <c r="F670" s="38" t="s">
        <v>8954</v>
      </c>
      <c r="G670" s="34" t="s">
        <v>9383</v>
      </c>
      <c r="I670" s="35" t="s">
        <v>10961</v>
      </c>
      <c r="J670" s="36" t="s">
        <v>539</v>
      </c>
    </row>
    <row r="671" spans="1:10" x14ac:dyDescent="0.25">
      <c r="A671" s="31" t="s">
        <v>540</v>
      </c>
      <c r="B671" s="31">
        <v>15.129899999999999</v>
      </c>
      <c r="C671" s="32" t="s">
        <v>10970</v>
      </c>
      <c r="D671" s="31" t="s">
        <v>10845</v>
      </c>
      <c r="E671" s="40" t="s">
        <v>10971</v>
      </c>
      <c r="F671" s="38" t="s">
        <v>8954</v>
      </c>
      <c r="G671" s="34" t="s">
        <v>9383</v>
      </c>
      <c r="I671" s="35" t="s">
        <v>10961</v>
      </c>
      <c r="J671" s="36" t="s">
        <v>540</v>
      </c>
    </row>
    <row r="672" spans="1:10" x14ac:dyDescent="0.25">
      <c r="A672" s="31" t="s">
        <v>541</v>
      </c>
      <c r="B672" s="31">
        <v>15.13</v>
      </c>
      <c r="C672" s="32" t="s">
        <v>10972</v>
      </c>
      <c r="D672" s="31" t="s">
        <v>10845</v>
      </c>
      <c r="E672" s="40" t="s">
        <v>9384</v>
      </c>
      <c r="F672" s="38" t="s">
        <v>8954</v>
      </c>
      <c r="G672" s="34" t="s">
        <v>9384</v>
      </c>
      <c r="H672" s="34" t="s">
        <v>9384</v>
      </c>
      <c r="I672" s="35" t="s">
        <v>10972</v>
      </c>
      <c r="J672" s="36" t="s">
        <v>541</v>
      </c>
    </row>
    <row r="673" spans="1:10" x14ac:dyDescent="0.25">
      <c r="A673" s="31" t="s">
        <v>542</v>
      </c>
      <c r="B673" s="31">
        <v>15.130100000000001</v>
      </c>
      <c r="C673" s="32" t="s">
        <v>10973</v>
      </c>
      <c r="D673" s="31" t="s">
        <v>10845</v>
      </c>
      <c r="E673" s="40" t="s">
        <v>10974</v>
      </c>
      <c r="F673" s="38" t="s">
        <v>8954</v>
      </c>
      <c r="G673" s="34" t="s">
        <v>9384</v>
      </c>
      <c r="I673" s="35" t="s">
        <v>10972</v>
      </c>
      <c r="J673" s="36" t="s">
        <v>542</v>
      </c>
    </row>
    <row r="674" spans="1:10" x14ac:dyDescent="0.25">
      <c r="A674" s="31" t="s">
        <v>543</v>
      </c>
      <c r="B674" s="31">
        <v>15.1302</v>
      </c>
      <c r="C674" s="32" t="s">
        <v>10975</v>
      </c>
      <c r="D674" s="31" t="s">
        <v>10845</v>
      </c>
      <c r="E674" s="40" t="s">
        <v>10976</v>
      </c>
      <c r="F674" s="38" t="s">
        <v>8954</v>
      </c>
      <c r="G674" s="34" t="s">
        <v>9384</v>
      </c>
      <c r="I674" s="35" t="s">
        <v>10972</v>
      </c>
      <c r="J674" s="36" t="s">
        <v>543</v>
      </c>
    </row>
    <row r="675" spans="1:10" x14ac:dyDescent="0.25">
      <c r="A675" s="31" t="s">
        <v>544</v>
      </c>
      <c r="B675" s="31">
        <v>15.1303</v>
      </c>
      <c r="C675" s="32" t="s">
        <v>10977</v>
      </c>
      <c r="D675" s="31" t="s">
        <v>10845</v>
      </c>
      <c r="E675" s="40" t="s">
        <v>10978</v>
      </c>
      <c r="F675" s="38" t="s">
        <v>8954</v>
      </c>
      <c r="G675" s="34" t="s">
        <v>9384</v>
      </c>
      <c r="I675" s="35" t="s">
        <v>10972</v>
      </c>
      <c r="J675" s="36" t="s">
        <v>544</v>
      </c>
    </row>
    <row r="676" spans="1:10" x14ac:dyDescent="0.25">
      <c r="A676" s="31" t="s">
        <v>545</v>
      </c>
      <c r="B676" s="31">
        <v>15.1304</v>
      </c>
      <c r="C676" s="32" t="s">
        <v>10979</v>
      </c>
      <c r="D676" s="31" t="s">
        <v>10845</v>
      </c>
      <c r="E676" s="40" t="s">
        <v>10980</v>
      </c>
      <c r="F676" s="38" t="s">
        <v>8954</v>
      </c>
      <c r="G676" s="34" t="s">
        <v>9384</v>
      </c>
      <c r="I676" s="35" t="s">
        <v>10972</v>
      </c>
      <c r="J676" s="36" t="s">
        <v>545</v>
      </c>
    </row>
    <row r="677" spans="1:10" x14ac:dyDescent="0.25">
      <c r="A677" s="31" t="s">
        <v>546</v>
      </c>
      <c r="B677" s="31">
        <v>15.1305</v>
      </c>
      <c r="C677" s="32" t="s">
        <v>10981</v>
      </c>
      <c r="D677" s="31" t="s">
        <v>10845</v>
      </c>
      <c r="E677" s="40" t="s">
        <v>10982</v>
      </c>
      <c r="F677" s="38" t="s">
        <v>8954</v>
      </c>
      <c r="G677" s="34" t="s">
        <v>9384</v>
      </c>
      <c r="I677" s="35" t="s">
        <v>10972</v>
      </c>
      <c r="J677" s="36" t="s">
        <v>546</v>
      </c>
    </row>
    <row r="678" spans="1:10" x14ac:dyDescent="0.25">
      <c r="A678" s="31" t="s">
        <v>547</v>
      </c>
      <c r="B678" s="31">
        <v>15.130599999999999</v>
      </c>
      <c r="C678" s="32" t="s">
        <v>10983</v>
      </c>
      <c r="D678" s="31" t="s">
        <v>10845</v>
      </c>
      <c r="E678" s="40" t="s">
        <v>10984</v>
      </c>
      <c r="F678" s="38" t="s">
        <v>8954</v>
      </c>
      <c r="G678" s="34" t="s">
        <v>9384</v>
      </c>
      <c r="I678" s="35" t="s">
        <v>10972</v>
      </c>
      <c r="J678" s="36" t="s">
        <v>547</v>
      </c>
    </row>
    <row r="679" spans="1:10" x14ac:dyDescent="0.25">
      <c r="A679" s="31" t="s">
        <v>1913</v>
      </c>
      <c r="B679" s="31">
        <v>15.130699999999999</v>
      </c>
      <c r="C679" s="32" t="s">
        <v>10985</v>
      </c>
      <c r="D679" s="31" t="s">
        <v>10845</v>
      </c>
      <c r="E679" s="40" t="s">
        <v>10986</v>
      </c>
      <c r="F679" s="38" t="s">
        <v>8954</v>
      </c>
      <c r="G679" s="34" t="s">
        <v>9384</v>
      </c>
      <c r="I679" s="35" t="s">
        <v>10972</v>
      </c>
      <c r="J679" s="36" t="s">
        <v>1913</v>
      </c>
    </row>
    <row r="680" spans="1:10" x14ac:dyDescent="0.25">
      <c r="A680" s="31" t="s">
        <v>548</v>
      </c>
      <c r="B680" s="31">
        <v>15.139900000000001</v>
      </c>
      <c r="C680" s="32" t="s">
        <v>10987</v>
      </c>
      <c r="D680" s="31" t="s">
        <v>10845</v>
      </c>
      <c r="E680" s="40" t="s">
        <v>10988</v>
      </c>
      <c r="F680" s="38" t="s">
        <v>8954</v>
      </c>
      <c r="G680" s="34" t="s">
        <v>9384</v>
      </c>
      <c r="I680" s="35" t="s">
        <v>10972</v>
      </c>
      <c r="J680" s="36" t="s">
        <v>548</v>
      </c>
    </row>
    <row r="681" spans="1:10" x14ac:dyDescent="0.25">
      <c r="A681" s="31" t="s">
        <v>1914</v>
      </c>
      <c r="B681" s="31">
        <v>15.14</v>
      </c>
      <c r="C681" s="32" t="s">
        <v>10989</v>
      </c>
      <c r="D681" s="31" t="s">
        <v>10845</v>
      </c>
      <c r="E681" s="40" t="s">
        <v>9385</v>
      </c>
      <c r="F681" s="38" t="s">
        <v>8954</v>
      </c>
      <c r="G681" s="34" t="s">
        <v>9385</v>
      </c>
      <c r="H681" s="34" t="s">
        <v>9385</v>
      </c>
      <c r="I681" s="35" t="s">
        <v>10989</v>
      </c>
      <c r="J681" s="36" t="s">
        <v>1914</v>
      </c>
    </row>
    <row r="682" spans="1:10" x14ac:dyDescent="0.25">
      <c r="A682" s="31" t="s">
        <v>1914</v>
      </c>
      <c r="B682" s="31">
        <v>15.1401</v>
      </c>
      <c r="C682" s="32" t="s">
        <v>10990</v>
      </c>
      <c r="D682" s="31" t="s">
        <v>10845</v>
      </c>
      <c r="E682" s="40" t="s">
        <v>10991</v>
      </c>
      <c r="F682" s="38" t="s">
        <v>8954</v>
      </c>
      <c r="G682" s="34" t="s">
        <v>9385</v>
      </c>
      <c r="I682" s="35" t="s">
        <v>10989</v>
      </c>
      <c r="J682" s="36" t="s">
        <v>1914</v>
      </c>
    </row>
    <row r="683" spans="1:10" x14ac:dyDescent="0.25">
      <c r="A683" s="31" t="s">
        <v>549</v>
      </c>
      <c r="B683" s="31">
        <v>15.15</v>
      </c>
      <c r="C683" s="32" t="s">
        <v>10992</v>
      </c>
      <c r="D683" s="31" t="s">
        <v>10845</v>
      </c>
      <c r="E683" s="40" t="s">
        <v>9386</v>
      </c>
      <c r="F683" s="38" t="s">
        <v>8954</v>
      </c>
      <c r="G683" s="34" t="s">
        <v>9386</v>
      </c>
      <c r="H683" s="34" t="s">
        <v>9386</v>
      </c>
      <c r="I683" s="35" t="s">
        <v>10992</v>
      </c>
      <c r="J683" s="36" t="s">
        <v>549</v>
      </c>
    </row>
    <row r="684" spans="1:10" x14ac:dyDescent="0.25">
      <c r="A684" s="31" t="s">
        <v>550</v>
      </c>
      <c r="B684" s="31">
        <v>15.1501</v>
      </c>
      <c r="C684" s="32" t="s">
        <v>10993</v>
      </c>
      <c r="D684" s="31" t="s">
        <v>10845</v>
      </c>
      <c r="E684" s="40" t="s">
        <v>10994</v>
      </c>
      <c r="F684" s="38" t="s">
        <v>8954</v>
      </c>
      <c r="G684" s="34" t="s">
        <v>9386</v>
      </c>
      <c r="I684" s="35" t="s">
        <v>10992</v>
      </c>
      <c r="J684" s="36" t="s">
        <v>550</v>
      </c>
    </row>
    <row r="685" spans="1:10" x14ac:dyDescent="0.25">
      <c r="A685" s="31" t="s">
        <v>551</v>
      </c>
      <c r="B685" s="31">
        <v>15.1502</v>
      </c>
      <c r="C685" s="32" t="s">
        <v>10995</v>
      </c>
      <c r="D685" s="31" t="s">
        <v>10845</v>
      </c>
      <c r="E685" s="40" t="s">
        <v>10996</v>
      </c>
      <c r="F685" s="38" t="s">
        <v>8954</v>
      </c>
      <c r="G685" s="34" t="s">
        <v>9386</v>
      </c>
      <c r="I685" s="35" t="s">
        <v>10992</v>
      </c>
      <c r="J685" s="36" t="s">
        <v>551</v>
      </c>
    </row>
    <row r="686" spans="1:10" x14ac:dyDescent="0.25">
      <c r="A686" s="31" t="s">
        <v>552</v>
      </c>
      <c r="B686" s="31">
        <v>15.1503</v>
      </c>
      <c r="C686" s="32" t="s">
        <v>10997</v>
      </c>
      <c r="D686" s="31" t="s">
        <v>10845</v>
      </c>
      <c r="E686" s="40" t="s">
        <v>10998</v>
      </c>
      <c r="F686" s="38" t="s">
        <v>8954</v>
      </c>
      <c r="G686" s="34" t="s">
        <v>9386</v>
      </c>
      <c r="I686" s="35" t="s">
        <v>10992</v>
      </c>
      <c r="J686" s="36" t="s">
        <v>552</v>
      </c>
    </row>
    <row r="687" spans="1:10" x14ac:dyDescent="0.25">
      <c r="A687" s="31" t="s">
        <v>553</v>
      </c>
      <c r="B687" s="31">
        <v>15.1599</v>
      </c>
      <c r="C687" s="32" t="s">
        <v>10999</v>
      </c>
      <c r="D687" s="31" t="s">
        <v>10845</v>
      </c>
      <c r="E687" s="40" t="s">
        <v>11000</v>
      </c>
      <c r="F687" s="38" t="s">
        <v>8954</v>
      </c>
      <c r="G687" s="34" t="s">
        <v>9386</v>
      </c>
      <c r="I687" s="35" t="s">
        <v>10992</v>
      </c>
      <c r="J687" s="36" t="s">
        <v>553</v>
      </c>
    </row>
    <row r="688" spans="1:10" x14ac:dyDescent="0.25">
      <c r="A688" s="31" t="s">
        <v>554</v>
      </c>
      <c r="B688" s="31">
        <v>15.16</v>
      </c>
      <c r="C688" s="32" t="s">
        <v>11001</v>
      </c>
      <c r="D688" s="31" t="s">
        <v>10845</v>
      </c>
      <c r="E688" s="40" t="s">
        <v>9387</v>
      </c>
      <c r="F688" s="38" t="s">
        <v>8954</v>
      </c>
      <c r="G688" s="34" t="s">
        <v>9387</v>
      </c>
      <c r="H688" s="34" t="s">
        <v>9387</v>
      </c>
      <c r="I688" s="35" t="s">
        <v>11001</v>
      </c>
      <c r="J688" s="36" t="s">
        <v>554</v>
      </c>
    </row>
    <row r="689" spans="1:10" x14ac:dyDescent="0.25">
      <c r="A689" s="31" t="s">
        <v>554</v>
      </c>
      <c r="B689" s="31">
        <v>15.1601</v>
      </c>
      <c r="C689" s="32" t="s">
        <v>11002</v>
      </c>
      <c r="D689" s="31" t="s">
        <v>10845</v>
      </c>
      <c r="E689" s="40" t="s">
        <v>11003</v>
      </c>
      <c r="F689" s="38" t="s">
        <v>8954</v>
      </c>
      <c r="G689" s="34" t="s">
        <v>9387</v>
      </c>
      <c r="I689" s="35" t="s">
        <v>11001</v>
      </c>
      <c r="J689" s="36" t="s">
        <v>554</v>
      </c>
    </row>
    <row r="690" spans="1:10" x14ac:dyDescent="0.25">
      <c r="A690" s="31" t="s">
        <v>1915</v>
      </c>
      <c r="B690" s="31">
        <v>15.17</v>
      </c>
      <c r="C690" s="32" t="s">
        <v>11004</v>
      </c>
      <c r="D690" s="31" t="s">
        <v>10845</v>
      </c>
      <c r="E690" s="40" t="s">
        <v>9388</v>
      </c>
      <c r="F690" s="38" t="s">
        <v>8954</v>
      </c>
      <c r="G690" s="34" t="s">
        <v>9388</v>
      </c>
      <c r="H690" s="34" t="s">
        <v>9388</v>
      </c>
      <c r="I690" s="35" t="s">
        <v>11004</v>
      </c>
      <c r="J690" s="36" t="s">
        <v>1915</v>
      </c>
    </row>
    <row r="691" spans="1:10" x14ac:dyDescent="0.25">
      <c r="A691" s="31" t="s">
        <v>1916</v>
      </c>
      <c r="B691" s="31">
        <v>15.1701</v>
      </c>
      <c r="C691" s="32" t="s">
        <v>11005</v>
      </c>
      <c r="D691" s="31" t="s">
        <v>10845</v>
      </c>
      <c r="E691" s="40" t="s">
        <v>11006</v>
      </c>
      <c r="F691" s="38" t="s">
        <v>8954</v>
      </c>
      <c r="G691" s="34" t="s">
        <v>9388</v>
      </c>
      <c r="I691" s="35" t="s">
        <v>11004</v>
      </c>
      <c r="J691" s="36" t="s">
        <v>1916</v>
      </c>
    </row>
    <row r="692" spans="1:10" x14ac:dyDescent="0.25">
      <c r="A692" s="31" t="s">
        <v>1917</v>
      </c>
      <c r="B692" s="31">
        <v>15.170199999999999</v>
      </c>
      <c r="C692" s="32" t="s">
        <v>11007</v>
      </c>
      <c r="D692" s="31" t="s">
        <v>10845</v>
      </c>
      <c r="E692" s="40" t="s">
        <v>11008</v>
      </c>
      <c r="F692" s="38" t="s">
        <v>8954</v>
      </c>
      <c r="G692" s="34" t="s">
        <v>9388</v>
      </c>
      <c r="I692" s="35" t="s">
        <v>11004</v>
      </c>
      <c r="J692" s="36" t="s">
        <v>1917</v>
      </c>
    </row>
    <row r="693" spans="1:10" x14ac:dyDescent="0.25">
      <c r="A693" s="31" t="s">
        <v>508</v>
      </c>
      <c r="B693" s="31">
        <v>15.170299999999999</v>
      </c>
      <c r="C693" s="32" t="s">
        <v>11009</v>
      </c>
      <c r="D693" s="31" t="s">
        <v>10845</v>
      </c>
      <c r="E693" s="40" t="s">
        <v>11010</v>
      </c>
      <c r="F693" s="38" t="s">
        <v>8954</v>
      </c>
      <c r="G693" s="34" t="s">
        <v>9388</v>
      </c>
      <c r="I693" s="35" t="s">
        <v>11004</v>
      </c>
      <c r="J693" s="36" t="s">
        <v>508</v>
      </c>
    </row>
    <row r="694" spans="1:10" x14ac:dyDescent="0.25">
      <c r="A694" s="31" t="s">
        <v>1918</v>
      </c>
      <c r="B694" s="31">
        <v>15.170400000000001</v>
      </c>
      <c r="C694" s="32" t="s">
        <v>11011</v>
      </c>
      <c r="D694" s="31" t="s">
        <v>10845</v>
      </c>
      <c r="E694" s="40" t="s">
        <v>11012</v>
      </c>
      <c r="F694" s="38" t="s">
        <v>8954</v>
      </c>
      <c r="G694" s="34" t="s">
        <v>9388</v>
      </c>
      <c r="I694" s="35" t="s">
        <v>11004</v>
      </c>
      <c r="J694" s="36" t="s">
        <v>1918</v>
      </c>
    </row>
    <row r="695" spans="1:10" x14ac:dyDescent="0.25">
      <c r="A695" s="31" t="s">
        <v>1919</v>
      </c>
      <c r="B695" s="31">
        <v>15.170500000000001</v>
      </c>
      <c r="C695" s="32" t="s">
        <v>11013</v>
      </c>
      <c r="D695" s="31" t="s">
        <v>10845</v>
      </c>
      <c r="E695" s="40" t="s">
        <v>11014</v>
      </c>
      <c r="F695" s="38" t="s">
        <v>8954</v>
      </c>
      <c r="G695" s="34" t="s">
        <v>9388</v>
      </c>
      <c r="I695" s="35" t="s">
        <v>11004</v>
      </c>
      <c r="J695" s="36" t="s">
        <v>1919</v>
      </c>
    </row>
    <row r="696" spans="1:10" x14ac:dyDescent="0.25">
      <c r="A696" s="31" t="s">
        <v>1920</v>
      </c>
      <c r="B696" s="31">
        <v>15.1706</v>
      </c>
      <c r="C696" s="32" t="s">
        <v>11015</v>
      </c>
      <c r="D696" s="31" t="s">
        <v>10845</v>
      </c>
      <c r="E696" s="40" t="s">
        <v>11016</v>
      </c>
      <c r="F696" s="38" t="s">
        <v>8954</v>
      </c>
      <c r="G696" s="34" t="s">
        <v>9388</v>
      </c>
      <c r="I696" s="35" t="s">
        <v>11004</v>
      </c>
      <c r="J696" s="36" t="s">
        <v>1920</v>
      </c>
    </row>
    <row r="697" spans="1:10" x14ac:dyDescent="0.25">
      <c r="A697" s="31" t="s">
        <v>1921</v>
      </c>
      <c r="B697" s="31">
        <v>15.1799</v>
      </c>
      <c r="C697" s="32" t="s">
        <v>11017</v>
      </c>
      <c r="D697" s="31" t="s">
        <v>10845</v>
      </c>
      <c r="E697" s="40" t="s">
        <v>11018</v>
      </c>
      <c r="F697" s="38" t="s">
        <v>8954</v>
      </c>
      <c r="G697" s="34" t="s">
        <v>9388</v>
      </c>
      <c r="I697" s="35" t="s">
        <v>11004</v>
      </c>
      <c r="J697" s="36" t="s">
        <v>1921</v>
      </c>
    </row>
    <row r="698" spans="1:10" x14ac:dyDescent="0.25">
      <c r="A698" s="31" t="s">
        <v>1922</v>
      </c>
      <c r="B698" s="31">
        <v>15.99</v>
      </c>
      <c r="C698" s="32" t="s">
        <v>11019</v>
      </c>
      <c r="D698" s="31" t="s">
        <v>10845</v>
      </c>
      <c r="E698" s="40" t="s">
        <v>9389</v>
      </c>
      <c r="F698" s="38" t="s">
        <v>8954</v>
      </c>
      <c r="G698" s="34" t="s">
        <v>9389</v>
      </c>
      <c r="H698" s="34" t="s">
        <v>9389</v>
      </c>
      <c r="I698" s="35" t="s">
        <v>11019</v>
      </c>
      <c r="J698" s="36" t="s">
        <v>1922</v>
      </c>
    </row>
    <row r="699" spans="1:10" x14ac:dyDescent="0.25">
      <c r="A699" s="31" t="s">
        <v>1922</v>
      </c>
      <c r="B699" s="31">
        <v>15.9999</v>
      </c>
      <c r="C699" s="32" t="s">
        <v>11020</v>
      </c>
      <c r="D699" s="31" t="s">
        <v>10845</v>
      </c>
      <c r="E699" s="40" t="s">
        <v>11021</v>
      </c>
      <c r="F699" s="38" t="s">
        <v>8954</v>
      </c>
      <c r="G699" s="34" t="s">
        <v>9389</v>
      </c>
      <c r="I699" s="35" t="s">
        <v>11019</v>
      </c>
      <c r="J699" s="36" t="s">
        <v>1922</v>
      </c>
    </row>
    <row r="700" spans="1:10" x14ac:dyDescent="0.25">
      <c r="A700" s="31" t="s">
        <v>555</v>
      </c>
      <c r="B700" s="31">
        <v>16</v>
      </c>
      <c r="C700" s="32" t="s">
        <v>11022</v>
      </c>
      <c r="D700" s="31" t="s">
        <v>11022</v>
      </c>
      <c r="E700" s="40" t="s">
        <v>9390</v>
      </c>
      <c r="F700" s="38" t="s">
        <v>8969</v>
      </c>
      <c r="G700" s="34" t="s">
        <v>9390</v>
      </c>
      <c r="H700" s="34" t="s">
        <v>9390</v>
      </c>
      <c r="I700" s="35" t="s">
        <v>11022</v>
      </c>
      <c r="J700" s="36" t="s">
        <v>555</v>
      </c>
    </row>
    <row r="701" spans="1:10" x14ac:dyDescent="0.25">
      <c r="A701" s="31" t="s">
        <v>556</v>
      </c>
      <c r="B701" s="31">
        <v>16.010000000000002</v>
      </c>
      <c r="C701" s="32" t="s">
        <v>11023</v>
      </c>
      <c r="D701" s="31" t="s">
        <v>11022</v>
      </c>
      <c r="E701" s="40" t="s">
        <v>9391</v>
      </c>
      <c r="F701" s="38" t="s">
        <v>8969</v>
      </c>
      <c r="G701" s="34" t="s">
        <v>9391</v>
      </c>
      <c r="H701" s="34" t="s">
        <v>9391</v>
      </c>
      <c r="I701" s="35" t="s">
        <v>11023</v>
      </c>
      <c r="J701" s="36" t="s">
        <v>556</v>
      </c>
    </row>
    <row r="702" spans="1:10" x14ac:dyDescent="0.25">
      <c r="A702" s="31" t="s">
        <v>557</v>
      </c>
      <c r="B702" s="31">
        <v>16.010100000000001</v>
      </c>
      <c r="C702" s="32" t="s">
        <v>11024</v>
      </c>
      <c r="D702" s="31" t="s">
        <v>11022</v>
      </c>
      <c r="E702" s="40" t="s">
        <v>11025</v>
      </c>
      <c r="F702" s="38" t="s">
        <v>8969</v>
      </c>
      <c r="G702" s="34" t="s">
        <v>9391</v>
      </c>
      <c r="I702" s="35" t="s">
        <v>11023</v>
      </c>
      <c r="J702" s="36" t="s">
        <v>557</v>
      </c>
    </row>
    <row r="703" spans="1:10" x14ac:dyDescent="0.25">
      <c r="A703" s="31" t="s">
        <v>558</v>
      </c>
      <c r="B703" s="31">
        <v>16.010200000000001</v>
      </c>
      <c r="C703" s="32" t="s">
        <v>11026</v>
      </c>
      <c r="D703" s="31" t="s">
        <v>11022</v>
      </c>
      <c r="E703" s="40" t="s">
        <v>11027</v>
      </c>
      <c r="F703" s="38" t="s">
        <v>8969</v>
      </c>
      <c r="G703" s="34" t="s">
        <v>9391</v>
      </c>
      <c r="I703" s="35" t="s">
        <v>11023</v>
      </c>
      <c r="J703" s="36" t="s">
        <v>558</v>
      </c>
    </row>
    <row r="704" spans="1:10" x14ac:dyDescent="0.25">
      <c r="A704" s="31" t="s">
        <v>559</v>
      </c>
      <c r="B704" s="31">
        <v>16.010300000000001</v>
      </c>
      <c r="C704" s="32" t="s">
        <v>11028</v>
      </c>
      <c r="D704" s="31" t="s">
        <v>11022</v>
      </c>
      <c r="E704" s="40" t="s">
        <v>11029</v>
      </c>
      <c r="F704" s="38" t="s">
        <v>8969</v>
      </c>
      <c r="G704" s="34" t="s">
        <v>9391</v>
      </c>
      <c r="I704" s="35" t="s">
        <v>11023</v>
      </c>
      <c r="J704" s="36" t="s">
        <v>559</v>
      </c>
    </row>
    <row r="705" spans="1:10" x14ac:dyDescent="0.25">
      <c r="A705" s="31" t="s">
        <v>560</v>
      </c>
      <c r="B705" s="31">
        <v>16.010400000000001</v>
      </c>
      <c r="C705" s="32" t="s">
        <v>11030</v>
      </c>
      <c r="D705" s="31" t="s">
        <v>11022</v>
      </c>
      <c r="E705" s="40" t="s">
        <v>11031</v>
      </c>
      <c r="F705" s="38" t="s">
        <v>8969</v>
      </c>
      <c r="G705" s="34" t="s">
        <v>9391</v>
      </c>
      <c r="I705" s="35" t="s">
        <v>11023</v>
      </c>
      <c r="J705" s="36" t="s">
        <v>560</v>
      </c>
    </row>
    <row r="706" spans="1:10" x14ac:dyDescent="0.25">
      <c r="A706" s="31" t="s">
        <v>561</v>
      </c>
      <c r="B706" s="31">
        <v>16.0105</v>
      </c>
      <c r="C706" s="32" t="s">
        <v>11032</v>
      </c>
      <c r="D706" s="31" t="s">
        <v>11022</v>
      </c>
      <c r="E706" s="40" t="s">
        <v>11033</v>
      </c>
      <c r="F706" s="38" t="s">
        <v>8969</v>
      </c>
      <c r="G706" s="34" t="s">
        <v>9391</v>
      </c>
      <c r="I706" s="35" t="s">
        <v>11023</v>
      </c>
      <c r="J706" s="36" t="s">
        <v>561</v>
      </c>
    </row>
    <row r="707" spans="1:10" x14ac:dyDescent="0.25">
      <c r="A707" s="31" t="s">
        <v>562</v>
      </c>
      <c r="B707" s="31">
        <v>16.0199</v>
      </c>
      <c r="C707" s="32" t="s">
        <v>11034</v>
      </c>
      <c r="D707" s="31" t="s">
        <v>11022</v>
      </c>
      <c r="E707" s="40" t="s">
        <v>11035</v>
      </c>
      <c r="F707" s="38" t="s">
        <v>8969</v>
      </c>
      <c r="G707" s="34" t="s">
        <v>9391</v>
      </c>
      <c r="I707" s="35" t="s">
        <v>11023</v>
      </c>
      <c r="J707" s="36" t="s">
        <v>562</v>
      </c>
    </row>
    <row r="708" spans="1:10" x14ac:dyDescent="0.25">
      <c r="A708" s="31" t="s">
        <v>563</v>
      </c>
      <c r="B708" s="31">
        <v>16.02</v>
      </c>
      <c r="C708" s="32" t="s">
        <v>11036</v>
      </c>
      <c r="D708" s="31" t="s">
        <v>11022</v>
      </c>
      <c r="E708" s="40" t="s">
        <v>9392</v>
      </c>
      <c r="F708" s="38" t="s">
        <v>8969</v>
      </c>
      <c r="G708" s="34" t="s">
        <v>9392</v>
      </c>
      <c r="H708" s="34" t="s">
        <v>9392</v>
      </c>
      <c r="I708" s="35" t="s">
        <v>11036</v>
      </c>
      <c r="J708" s="36" t="s">
        <v>563</v>
      </c>
    </row>
    <row r="709" spans="1:10" x14ac:dyDescent="0.25">
      <c r="A709" s="31" t="s">
        <v>563</v>
      </c>
      <c r="B709" s="31">
        <v>16.020099999999999</v>
      </c>
      <c r="C709" s="32" t="s">
        <v>11037</v>
      </c>
      <c r="D709" s="31" t="s">
        <v>11022</v>
      </c>
      <c r="E709" s="40" t="s">
        <v>11038</v>
      </c>
      <c r="F709" s="38" t="s">
        <v>8969</v>
      </c>
      <c r="G709" s="34" t="s">
        <v>9392</v>
      </c>
      <c r="I709" s="35" t="s">
        <v>11036</v>
      </c>
      <c r="J709" s="36" t="s">
        <v>563</v>
      </c>
    </row>
    <row r="710" spans="1:10" x14ac:dyDescent="0.25">
      <c r="A710" s="31" t="s">
        <v>565</v>
      </c>
      <c r="B710" s="31">
        <v>16.03</v>
      </c>
      <c r="C710" s="32" t="s">
        <v>11039</v>
      </c>
      <c r="D710" s="31" t="s">
        <v>11022</v>
      </c>
      <c r="E710" s="40" t="s">
        <v>11040</v>
      </c>
      <c r="F710" s="38" t="s">
        <v>8969</v>
      </c>
      <c r="G710" s="34" t="s">
        <v>9393</v>
      </c>
      <c r="I710" s="35" t="s">
        <v>11041</v>
      </c>
      <c r="J710" s="36" t="s">
        <v>565</v>
      </c>
    </row>
    <row r="711" spans="1:10" x14ac:dyDescent="0.25">
      <c r="A711" s="31" t="s">
        <v>564</v>
      </c>
      <c r="B711" s="31">
        <v>16.03</v>
      </c>
      <c r="C711" s="32" t="s">
        <v>11041</v>
      </c>
      <c r="D711" s="31" t="s">
        <v>11022</v>
      </c>
      <c r="E711" s="40" t="s">
        <v>9393</v>
      </c>
      <c r="F711" s="38" t="s">
        <v>8969</v>
      </c>
      <c r="G711" s="34" t="s">
        <v>9393</v>
      </c>
      <c r="H711" s="34" t="s">
        <v>9393</v>
      </c>
      <c r="I711" s="35" t="s">
        <v>11041</v>
      </c>
      <c r="J711" s="36" t="s">
        <v>564</v>
      </c>
    </row>
    <row r="712" spans="1:10" x14ac:dyDescent="0.25">
      <c r="A712" s="31" t="s">
        <v>566</v>
      </c>
      <c r="B712" s="31">
        <v>16.030100000000001</v>
      </c>
      <c r="C712" s="32" t="s">
        <v>11042</v>
      </c>
      <c r="D712" s="31" t="s">
        <v>11022</v>
      </c>
      <c r="E712" s="40" t="s">
        <v>11043</v>
      </c>
      <c r="F712" s="38" t="s">
        <v>8969</v>
      </c>
      <c r="G712" s="34" t="s">
        <v>9393</v>
      </c>
      <c r="I712" s="35" t="s">
        <v>11041</v>
      </c>
      <c r="J712" s="36" t="s">
        <v>566</v>
      </c>
    </row>
    <row r="713" spans="1:10" x14ac:dyDescent="0.25">
      <c r="A713" s="31" t="s">
        <v>567</v>
      </c>
      <c r="B713" s="31">
        <v>16.030200000000001</v>
      </c>
      <c r="C713" s="32" t="s">
        <v>11044</v>
      </c>
      <c r="D713" s="31" t="s">
        <v>11022</v>
      </c>
      <c r="E713" s="40" t="s">
        <v>11045</v>
      </c>
      <c r="F713" s="38" t="s">
        <v>8969</v>
      </c>
      <c r="G713" s="34" t="s">
        <v>9393</v>
      </c>
      <c r="I713" s="35" t="s">
        <v>11041</v>
      </c>
      <c r="J713" s="36" t="s">
        <v>567</v>
      </c>
    </row>
    <row r="714" spans="1:10" x14ac:dyDescent="0.25">
      <c r="A714" s="31" t="s">
        <v>568</v>
      </c>
      <c r="B714" s="31">
        <v>16.0303</v>
      </c>
      <c r="C714" s="32" t="s">
        <v>11046</v>
      </c>
      <c r="D714" s="31" t="s">
        <v>11022</v>
      </c>
      <c r="E714" s="40" t="s">
        <v>11047</v>
      </c>
      <c r="F714" s="38" t="s">
        <v>8969</v>
      </c>
      <c r="G714" s="34" t="s">
        <v>9393</v>
      </c>
      <c r="I714" s="35" t="s">
        <v>11041</v>
      </c>
      <c r="J714" s="36" t="s">
        <v>568</v>
      </c>
    </row>
    <row r="715" spans="1:10" x14ac:dyDescent="0.25">
      <c r="A715" s="31" t="s">
        <v>569</v>
      </c>
      <c r="B715" s="31">
        <v>16.0304</v>
      </c>
      <c r="C715" s="32" t="s">
        <v>11048</v>
      </c>
      <c r="D715" s="31" t="s">
        <v>11022</v>
      </c>
      <c r="E715" s="40" t="s">
        <v>11049</v>
      </c>
      <c r="F715" s="38" t="s">
        <v>8969</v>
      </c>
      <c r="G715" s="34" t="s">
        <v>9393</v>
      </c>
      <c r="I715" s="35" t="s">
        <v>11041</v>
      </c>
      <c r="J715" s="36" t="s">
        <v>569</v>
      </c>
    </row>
    <row r="716" spans="1:10" x14ac:dyDescent="0.25">
      <c r="A716" s="31" t="s">
        <v>570</v>
      </c>
      <c r="B716" s="31">
        <v>16.039899999999999</v>
      </c>
      <c r="C716" s="32" t="s">
        <v>11050</v>
      </c>
      <c r="D716" s="31" t="s">
        <v>11022</v>
      </c>
      <c r="E716" s="40" t="s">
        <v>11051</v>
      </c>
      <c r="F716" s="38" t="s">
        <v>8969</v>
      </c>
      <c r="G716" s="34" t="s">
        <v>9393</v>
      </c>
      <c r="I716" s="35" t="s">
        <v>11041</v>
      </c>
      <c r="J716" s="36" t="s">
        <v>570</v>
      </c>
    </row>
    <row r="717" spans="1:10" x14ac:dyDescent="0.25">
      <c r="A717" s="31" t="s">
        <v>572</v>
      </c>
      <c r="B717" s="31">
        <v>16.04</v>
      </c>
      <c r="C717" s="32" t="s">
        <v>11052</v>
      </c>
      <c r="D717" s="31" t="s">
        <v>11022</v>
      </c>
      <c r="E717" s="40" t="s">
        <v>11053</v>
      </c>
      <c r="F717" s="38" t="s">
        <v>8969</v>
      </c>
      <c r="G717" s="34" t="s">
        <v>9394</v>
      </c>
      <c r="I717" s="35" t="s">
        <v>11054</v>
      </c>
      <c r="J717" s="36" t="s">
        <v>572</v>
      </c>
    </row>
    <row r="718" spans="1:10" x14ac:dyDescent="0.25">
      <c r="A718" s="31" t="s">
        <v>571</v>
      </c>
      <c r="B718" s="31">
        <v>16.04</v>
      </c>
      <c r="C718" s="32" t="s">
        <v>11054</v>
      </c>
      <c r="D718" s="31" t="s">
        <v>11022</v>
      </c>
      <c r="E718" s="40" t="s">
        <v>9394</v>
      </c>
      <c r="F718" s="38" t="s">
        <v>8969</v>
      </c>
      <c r="G718" s="34" t="s">
        <v>9394</v>
      </c>
      <c r="H718" s="34" t="s">
        <v>9394</v>
      </c>
      <c r="I718" s="35" t="s">
        <v>11054</v>
      </c>
      <c r="J718" s="36" t="s">
        <v>571</v>
      </c>
    </row>
    <row r="719" spans="1:10" x14ac:dyDescent="0.25">
      <c r="A719" s="31" t="s">
        <v>573</v>
      </c>
      <c r="B719" s="31">
        <v>16.040099999999999</v>
      </c>
      <c r="C719" s="32" t="s">
        <v>11055</v>
      </c>
      <c r="D719" s="31" t="s">
        <v>11022</v>
      </c>
      <c r="E719" s="40" t="s">
        <v>11056</v>
      </c>
      <c r="F719" s="38" t="s">
        <v>8969</v>
      </c>
      <c r="G719" s="34" t="s">
        <v>9394</v>
      </c>
      <c r="I719" s="35" t="s">
        <v>11054</v>
      </c>
      <c r="J719" s="36" t="s">
        <v>573</v>
      </c>
    </row>
    <row r="720" spans="1:10" x14ac:dyDescent="0.25">
      <c r="A720" s="31" t="s">
        <v>574</v>
      </c>
      <c r="B720" s="31">
        <v>16.040199999999999</v>
      </c>
      <c r="C720" s="32" t="s">
        <v>11057</v>
      </c>
      <c r="D720" s="31" t="s">
        <v>11022</v>
      </c>
      <c r="E720" s="40" t="s">
        <v>11058</v>
      </c>
      <c r="F720" s="38" t="s">
        <v>8969</v>
      </c>
      <c r="G720" s="34" t="s">
        <v>9394</v>
      </c>
      <c r="I720" s="35" t="s">
        <v>11054</v>
      </c>
      <c r="J720" s="36" t="s">
        <v>574</v>
      </c>
    </row>
    <row r="721" spans="1:10" x14ac:dyDescent="0.25">
      <c r="A721" s="31" t="s">
        <v>575</v>
      </c>
      <c r="B721" s="31">
        <v>16.040400000000002</v>
      </c>
      <c r="C721" s="32" t="s">
        <v>11059</v>
      </c>
      <c r="D721" s="31" t="s">
        <v>11022</v>
      </c>
      <c r="E721" s="40" t="s">
        <v>11060</v>
      </c>
      <c r="F721" s="38" t="s">
        <v>8969</v>
      </c>
      <c r="G721" s="34" t="s">
        <v>9394</v>
      </c>
      <c r="I721" s="35" t="s">
        <v>11054</v>
      </c>
      <c r="J721" s="36" t="s">
        <v>575</v>
      </c>
    </row>
    <row r="722" spans="1:10" x14ac:dyDescent="0.25">
      <c r="A722" s="31" t="s">
        <v>576</v>
      </c>
      <c r="B722" s="31">
        <v>16.040500000000002</v>
      </c>
      <c r="C722" s="32" t="s">
        <v>11061</v>
      </c>
      <c r="D722" s="31" t="s">
        <v>11022</v>
      </c>
      <c r="E722" s="40" t="s">
        <v>11062</v>
      </c>
      <c r="F722" s="38" t="s">
        <v>8969</v>
      </c>
      <c r="G722" s="34" t="s">
        <v>9394</v>
      </c>
      <c r="I722" s="35" t="s">
        <v>11054</v>
      </c>
      <c r="J722" s="36" t="s">
        <v>576</v>
      </c>
    </row>
    <row r="723" spans="1:10" x14ac:dyDescent="0.25">
      <c r="A723" s="31" t="s">
        <v>577</v>
      </c>
      <c r="B723" s="31">
        <v>16.040600000000001</v>
      </c>
      <c r="C723" s="32" t="s">
        <v>11063</v>
      </c>
      <c r="D723" s="31" t="s">
        <v>11022</v>
      </c>
      <c r="E723" s="40" t="s">
        <v>11064</v>
      </c>
      <c r="F723" s="38" t="s">
        <v>8969</v>
      </c>
      <c r="G723" s="34" t="s">
        <v>9394</v>
      </c>
      <c r="I723" s="35" t="s">
        <v>11054</v>
      </c>
      <c r="J723" s="36" t="s">
        <v>577</v>
      </c>
    </row>
    <row r="724" spans="1:10" x14ac:dyDescent="0.25">
      <c r="A724" s="31" t="s">
        <v>578</v>
      </c>
      <c r="B724" s="31">
        <v>16.040700000000001</v>
      </c>
      <c r="C724" s="32" t="s">
        <v>11065</v>
      </c>
      <c r="D724" s="31" t="s">
        <v>11022</v>
      </c>
      <c r="E724" s="40" t="s">
        <v>11066</v>
      </c>
      <c r="F724" s="38" t="s">
        <v>8969</v>
      </c>
      <c r="G724" s="34" t="s">
        <v>9394</v>
      </c>
      <c r="I724" s="35" t="s">
        <v>11054</v>
      </c>
      <c r="J724" s="36" t="s">
        <v>578</v>
      </c>
    </row>
    <row r="725" spans="1:10" x14ac:dyDescent="0.25">
      <c r="A725" s="31" t="s">
        <v>579</v>
      </c>
      <c r="B725" s="31">
        <v>16.040800000000001</v>
      </c>
      <c r="C725" s="32" t="s">
        <v>11067</v>
      </c>
      <c r="D725" s="31" t="s">
        <v>11022</v>
      </c>
      <c r="E725" s="40" t="s">
        <v>11068</v>
      </c>
      <c r="F725" s="38" t="s">
        <v>8969</v>
      </c>
      <c r="G725" s="34" t="s">
        <v>9394</v>
      </c>
      <c r="I725" s="35" t="s">
        <v>11054</v>
      </c>
      <c r="J725" s="36" t="s">
        <v>579</v>
      </c>
    </row>
    <row r="726" spans="1:10" x14ac:dyDescent="0.25">
      <c r="A726" s="31" t="s">
        <v>580</v>
      </c>
      <c r="B726" s="31">
        <v>16.040900000000001</v>
      </c>
      <c r="C726" s="32" t="s">
        <v>11069</v>
      </c>
      <c r="D726" s="31" t="s">
        <v>11022</v>
      </c>
      <c r="E726" s="40" t="s">
        <v>11070</v>
      </c>
      <c r="F726" s="38" t="s">
        <v>8969</v>
      </c>
      <c r="G726" s="34" t="s">
        <v>9394</v>
      </c>
      <c r="I726" s="35" t="s">
        <v>11054</v>
      </c>
      <c r="J726" s="36" t="s">
        <v>580</v>
      </c>
    </row>
    <row r="727" spans="1:10" x14ac:dyDescent="0.25">
      <c r="A727" s="31" t="s">
        <v>581</v>
      </c>
      <c r="B727" s="31">
        <v>16.041</v>
      </c>
      <c r="C727" s="32" t="s">
        <v>11071</v>
      </c>
      <c r="D727" s="31" t="s">
        <v>11022</v>
      </c>
      <c r="E727" s="40" t="s">
        <v>11072</v>
      </c>
      <c r="F727" s="38" t="s">
        <v>8969</v>
      </c>
      <c r="G727" s="34" t="s">
        <v>9394</v>
      </c>
      <c r="I727" s="35" t="s">
        <v>11054</v>
      </c>
      <c r="J727" s="36" t="s">
        <v>581</v>
      </c>
    </row>
    <row r="728" spans="1:10" x14ac:dyDescent="0.25">
      <c r="A728" s="31" t="s">
        <v>582</v>
      </c>
      <c r="B728" s="31">
        <v>16.049900000000001</v>
      </c>
      <c r="C728" s="32" t="s">
        <v>11073</v>
      </c>
      <c r="D728" s="31" t="s">
        <v>11022</v>
      </c>
      <c r="E728" s="40" t="s">
        <v>11074</v>
      </c>
      <c r="F728" s="38" t="s">
        <v>8969</v>
      </c>
      <c r="G728" s="34" t="s">
        <v>9394</v>
      </c>
      <c r="I728" s="35" t="s">
        <v>11054</v>
      </c>
      <c r="J728" s="36" t="s">
        <v>582</v>
      </c>
    </row>
    <row r="729" spans="1:10" x14ac:dyDescent="0.25">
      <c r="A729" s="31" t="s">
        <v>584</v>
      </c>
      <c r="B729" s="31">
        <v>16.05</v>
      </c>
      <c r="C729" s="32" t="s">
        <v>11075</v>
      </c>
      <c r="D729" s="31" t="s">
        <v>11022</v>
      </c>
      <c r="E729" s="40" t="s">
        <v>11076</v>
      </c>
      <c r="F729" s="38" t="s">
        <v>8969</v>
      </c>
      <c r="G729" s="34" t="s">
        <v>9394</v>
      </c>
      <c r="I729" s="35" t="s">
        <v>11054</v>
      </c>
      <c r="J729" s="36" t="s">
        <v>584</v>
      </c>
    </row>
    <row r="730" spans="1:10" x14ac:dyDescent="0.25">
      <c r="A730" s="31" t="s">
        <v>583</v>
      </c>
      <c r="B730" s="31">
        <v>16.05</v>
      </c>
      <c r="C730" s="32" t="s">
        <v>11077</v>
      </c>
      <c r="D730" s="31" t="s">
        <v>11022</v>
      </c>
      <c r="E730" s="40" t="s">
        <v>9395</v>
      </c>
      <c r="F730" s="38" t="s">
        <v>8969</v>
      </c>
      <c r="G730" s="34" t="s">
        <v>9395</v>
      </c>
      <c r="H730" s="34" t="s">
        <v>9395</v>
      </c>
      <c r="I730" s="35" t="s">
        <v>11077</v>
      </c>
      <c r="J730" s="36" t="s">
        <v>583</v>
      </c>
    </row>
    <row r="731" spans="1:10" x14ac:dyDescent="0.25">
      <c r="A731" s="31" t="s">
        <v>585</v>
      </c>
      <c r="B731" s="31">
        <v>16.0501</v>
      </c>
      <c r="C731" s="32" t="s">
        <v>11078</v>
      </c>
      <c r="D731" s="31" t="s">
        <v>11022</v>
      </c>
      <c r="E731" s="40" t="s">
        <v>11079</v>
      </c>
      <c r="F731" s="38" t="s">
        <v>8969</v>
      </c>
      <c r="G731" s="34" t="s">
        <v>9395</v>
      </c>
      <c r="I731" s="35" t="s">
        <v>11077</v>
      </c>
      <c r="J731" s="36" t="s">
        <v>585</v>
      </c>
    </row>
    <row r="732" spans="1:10" x14ac:dyDescent="0.25">
      <c r="A732" s="31" t="s">
        <v>586</v>
      </c>
      <c r="B732" s="31">
        <v>16.0502</v>
      </c>
      <c r="C732" s="32" t="s">
        <v>11080</v>
      </c>
      <c r="D732" s="31" t="s">
        <v>11022</v>
      </c>
      <c r="E732" s="40" t="s">
        <v>11081</v>
      </c>
      <c r="F732" s="38" t="s">
        <v>8969</v>
      </c>
      <c r="G732" s="34" t="s">
        <v>9395</v>
      </c>
      <c r="I732" s="35" t="s">
        <v>11077</v>
      </c>
      <c r="J732" s="36" t="s">
        <v>586</v>
      </c>
    </row>
    <row r="733" spans="1:10" x14ac:dyDescent="0.25">
      <c r="A733" s="31" t="s">
        <v>587</v>
      </c>
      <c r="B733" s="31">
        <v>16.0503</v>
      </c>
      <c r="C733" s="32" t="s">
        <v>11082</v>
      </c>
      <c r="D733" s="31" t="s">
        <v>11022</v>
      </c>
      <c r="E733" s="40" t="s">
        <v>11083</v>
      </c>
      <c r="F733" s="38" t="s">
        <v>8969</v>
      </c>
      <c r="G733" s="34" t="s">
        <v>9395</v>
      </c>
      <c r="I733" s="35" t="s">
        <v>11077</v>
      </c>
      <c r="J733" s="36" t="s">
        <v>587</v>
      </c>
    </row>
    <row r="734" spans="1:10" x14ac:dyDescent="0.25">
      <c r="A734" s="31" t="s">
        <v>588</v>
      </c>
      <c r="B734" s="31">
        <v>16.0504</v>
      </c>
      <c r="C734" s="32" t="s">
        <v>11084</v>
      </c>
      <c r="D734" s="31" t="s">
        <v>11022</v>
      </c>
      <c r="E734" s="40" t="s">
        <v>11085</v>
      </c>
      <c r="F734" s="38" t="s">
        <v>8969</v>
      </c>
      <c r="G734" s="34" t="s">
        <v>9395</v>
      </c>
      <c r="I734" s="35" t="s">
        <v>11077</v>
      </c>
      <c r="J734" s="36" t="s">
        <v>588</v>
      </c>
    </row>
    <row r="735" spans="1:10" x14ac:dyDescent="0.25">
      <c r="A735" s="31" t="s">
        <v>589</v>
      </c>
      <c r="B735" s="31">
        <v>16.0505</v>
      </c>
      <c r="C735" s="32" t="s">
        <v>11086</v>
      </c>
      <c r="D735" s="31" t="s">
        <v>11022</v>
      </c>
      <c r="E735" s="40" t="s">
        <v>11087</v>
      </c>
      <c r="F735" s="38" t="s">
        <v>8969</v>
      </c>
      <c r="G735" s="34" t="s">
        <v>9395</v>
      </c>
      <c r="I735" s="35" t="s">
        <v>11077</v>
      </c>
      <c r="J735" s="36" t="s">
        <v>589</v>
      </c>
    </row>
    <row r="736" spans="1:10" x14ac:dyDescent="0.25">
      <c r="A736" s="31" t="s">
        <v>590</v>
      </c>
      <c r="B736" s="31">
        <v>16.050599999999999</v>
      </c>
      <c r="C736" s="32" t="s">
        <v>11088</v>
      </c>
      <c r="D736" s="31" t="s">
        <v>11022</v>
      </c>
      <c r="E736" s="40" t="s">
        <v>11089</v>
      </c>
      <c r="F736" s="38" t="s">
        <v>8969</v>
      </c>
      <c r="G736" s="34" t="s">
        <v>9395</v>
      </c>
      <c r="I736" s="35" t="s">
        <v>11077</v>
      </c>
      <c r="J736" s="36" t="s">
        <v>590</v>
      </c>
    </row>
    <row r="737" spans="1:10" x14ac:dyDescent="0.25">
      <c r="A737" s="31" t="s">
        <v>591</v>
      </c>
      <c r="B737" s="31">
        <v>16.059899999999999</v>
      </c>
      <c r="C737" s="32" t="s">
        <v>11090</v>
      </c>
      <c r="D737" s="31" t="s">
        <v>11022</v>
      </c>
      <c r="E737" s="40" t="s">
        <v>11091</v>
      </c>
      <c r="F737" s="38" t="s">
        <v>8969</v>
      </c>
      <c r="G737" s="34" t="s">
        <v>9395</v>
      </c>
      <c r="I737" s="35" t="s">
        <v>11077</v>
      </c>
      <c r="J737" s="36" t="s">
        <v>591</v>
      </c>
    </row>
    <row r="738" spans="1:10" x14ac:dyDescent="0.25">
      <c r="A738" s="31" t="s">
        <v>592</v>
      </c>
      <c r="B738" s="31">
        <v>16.059999999999999</v>
      </c>
      <c r="C738" s="32" t="s">
        <v>11092</v>
      </c>
      <c r="D738" s="31" t="s">
        <v>11022</v>
      </c>
      <c r="E738" s="40" t="s">
        <v>9396</v>
      </c>
      <c r="F738" s="38" t="s">
        <v>8969</v>
      </c>
      <c r="G738" s="34" t="s">
        <v>9396</v>
      </c>
      <c r="H738" s="34" t="s">
        <v>9396</v>
      </c>
      <c r="I738" s="35" t="s">
        <v>11092</v>
      </c>
      <c r="J738" s="36" t="s">
        <v>592</v>
      </c>
    </row>
    <row r="739" spans="1:10" x14ac:dyDescent="0.25">
      <c r="A739" s="31" t="s">
        <v>592</v>
      </c>
      <c r="B739" s="31">
        <v>16.060099999999998</v>
      </c>
      <c r="C739" s="32" t="s">
        <v>11093</v>
      </c>
      <c r="D739" s="31" t="s">
        <v>11022</v>
      </c>
      <c r="E739" s="40" t="s">
        <v>11094</v>
      </c>
      <c r="F739" s="38" t="s">
        <v>8969</v>
      </c>
      <c r="G739" s="34" t="s">
        <v>9396</v>
      </c>
      <c r="I739" s="35" t="s">
        <v>11092</v>
      </c>
      <c r="J739" s="36" t="s">
        <v>592</v>
      </c>
    </row>
    <row r="740" spans="1:10" x14ac:dyDescent="0.25">
      <c r="A740" s="31" t="s">
        <v>594</v>
      </c>
      <c r="B740" s="31">
        <v>16.07</v>
      </c>
      <c r="C740" s="32" t="s">
        <v>11095</v>
      </c>
      <c r="D740" s="31" t="s">
        <v>11022</v>
      </c>
      <c r="E740" s="40" t="s">
        <v>11096</v>
      </c>
      <c r="F740" s="38" t="s">
        <v>8969</v>
      </c>
      <c r="G740" s="34" t="s">
        <v>9396</v>
      </c>
      <c r="I740" s="35" t="s">
        <v>11092</v>
      </c>
      <c r="J740" s="36" t="s">
        <v>594</v>
      </c>
    </row>
    <row r="741" spans="1:10" x14ac:dyDescent="0.25">
      <c r="A741" s="31" t="s">
        <v>593</v>
      </c>
      <c r="B741" s="31">
        <v>16.07</v>
      </c>
      <c r="C741" s="32" t="s">
        <v>11097</v>
      </c>
      <c r="D741" s="31" t="s">
        <v>11022</v>
      </c>
      <c r="E741" s="40" t="s">
        <v>9397</v>
      </c>
      <c r="F741" s="38" t="s">
        <v>8969</v>
      </c>
      <c r="G741" s="34" t="s">
        <v>9397</v>
      </c>
      <c r="H741" s="34" t="s">
        <v>9397</v>
      </c>
      <c r="I741" s="35" t="s">
        <v>11097</v>
      </c>
      <c r="J741" s="36" t="s">
        <v>593</v>
      </c>
    </row>
    <row r="742" spans="1:10" x14ac:dyDescent="0.25">
      <c r="A742" s="31" t="s">
        <v>595</v>
      </c>
      <c r="B742" s="31">
        <v>16.0701</v>
      </c>
      <c r="C742" s="32" t="s">
        <v>11098</v>
      </c>
      <c r="D742" s="31" t="s">
        <v>11022</v>
      </c>
      <c r="E742" s="40" t="s">
        <v>11099</v>
      </c>
      <c r="F742" s="38" t="s">
        <v>8969</v>
      </c>
      <c r="G742" s="34" t="s">
        <v>9397</v>
      </c>
      <c r="I742" s="35" t="s">
        <v>11097</v>
      </c>
      <c r="J742" s="36" t="s">
        <v>595</v>
      </c>
    </row>
    <row r="743" spans="1:10" x14ac:dyDescent="0.25">
      <c r="A743" s="31" t="s">
        <v>596</v>
      </c>
      <c r="B743" s="31">
        <v>16.0702</v>
      </c>
      <c r="C743" s="32" t="s">
        <v>11100</v>
      </c>
      <c r="D743" s="31" t="s">
        <v>11022</v>
      </c>
      <c r="E743" s="40" t="s">
        <v>11101</v>
      </c>
      <c r="F743" s="38" t="s">
        <v>8969</v>
      </c>
      <c r="G743" s="34" t="s">
        <v>9397</v>
      </c>
      <c r="I743" s="35" t="s">
        <v>11097</v>
      </c>
      <c r="J743" s="36" t="s">
        <v>596</v>
      </c>
    </row>
    <row r="744" spans="1:10" x14ac:dyDescent="0.25">
      <c r="A744" s="31" t="s">
        <v>597</v>
      </c>
      <c r="B744" s="31">
        <v>16.070399999999999</v>
      </c>
      <c r="C744" s="32" t="s">
        <v>11102</v>
      </c>
      <c r="D744" s="31" t="s">
        <v>11022</v>
      </c>
      <c r="E744" s="40" t="s">
        <v>11103</v>
      </c>
      <c r="F744" s="38" t="s">
        <v>8969</v>
      </c>
      <c r="G744" s="34" t="s">
        <v>9397</v>
      </c>
      <c r="I744" s="35" t="s">
        <v>11097</v>
      </c>
      <c r="J744" s="36" t="s">
        <v>597</v>
      </c>
    </row>
    <row r="745" spans="1:10" x14ac:dyDescent="0.25">
      <c r="A745" s="31" t="s">
        <v>598</v>
      </c>
      <c r="B745" s="31">
        <v>16.070499999999999</v>
      </c>
      <c r="C745" s="32" t="s">
        <v>11104</v>
      </c>
      <c r="D745" s="31" t="s">
        <v>11022</v>
      </c>
      <c r="E745" s="40" t="s">
        <v>11105</v>
      </c>
      <c r="F745" s="38" t="s">
        <v>8969</v>
      </c>
      <c r="G745" s="34" t="s">
        <v>9397</v>
      </c>
      <c r="I745" s="35" t="s">
        <v>11097</v>
      </c>
      <c r="J745" s="36" t="s">
        <v>598</v>
      </c>
    </row>
    <row r="746" spans="1:10" x14ac:dyDescent="0.25">
      <c r="A746" s="31" t="s">
        <v>599</v>
      </c>
      <c r="B746" s="31">
        <v>16.070599999999999</v>
      </c>
      <c r="C746" s="32" t="s">
        <v>11106</v>
      </c>
      <c r="D746" s="31" t="s">
        <v>11022</v>
      </c>
      <c r="E746" s="40" t="s">
        <v>11107</v>
      </c>
      <c r="F746" s="38" t="s">
        <v>8969</v>
      </c>
      <c r="G746" s="34" t="s">
        <v>9397</v>
      </c>
      <c r="I746" s="35" t="s">
        <v>11097</v>
      </c>
      <c r="J746" s="36" t="s">
        <v>599</v>
      </c>
    </row>
    <row r="747" spans="1:10" x14ac:dyDescent="0.25">
      <c r="A747" s="31" t="s">
        <v>600</v>
      </c>
      <c r="B747" s="31">
        <v>16.070699999999999</v>
      </c>
      <c r="C747" s="32" t="s">
        <v>11108</v>
      </c>
      <c r="D747" s="31" t="s">
        <v>11022</v>
      </c>
      <c r="E747" s="40" t="s">
        <v>11109</v>
      </c>
      <c r="F747" s="38" t="s">
        <v>8969</v>
      </c>
      <c r="G747" s="34" t="s">
        <v>9397</v>
      </c>
      <c r="I747" s="35" t="s">
        <v>11097</v>
      </c>
      <c r="J747" s="36" t="s">
        <v>600</v>
      </c>
    </row>
    <row r="748" spans="1:10" x14ac:dyDescent="0.25">
      <c r="A748" s="31" t="s">
        <v>601</v>
      </c>
      <c r="B748" s="31">
        <v>16.079899999999999</v>
      </c>
      <c r="C748" s="32" t="s">
        <v>11110</v>
      </c>
      <c r="D748" s="31" t="s">
        <v>11022</v>
      </c>
      <c r="E748" s="40" t="s">
        <v>11111</v>
      </c>
      <c r="F748" s="38" t="s">
        <v>8969</v>
      </c>
      <c r="G748" s="34" t="s">
        <v>9397</v>
      </c>
      <c r="I748" s="35" t="s">
        <v>11097</v>
      </c>
      <c r="J748" s="36" t="s">
        <v>601</v>
      </c>
    </row>
    <row r="749" spans="1:10" x14ac:dyDescent="0.25">
      <c r="A749" s="31" t="s">
        <v>602</v>
      </c>
      <c r="B749" s="31">
        <v>16.079999999999998</v>
      </c>
      <c r="C749" s="32" t="s">
        <v>11112</v>
      </c>
      <c r="D749" s="31" t="s">
        <v>11022</v>
      </c>
      <c r="E749" s="40" t="s">
        <v>9398</v>
      </c>
      <c r="F749" s="38" t="s">
        <v>8969</v>
      </c>
      <c r="G749" s="34" t="s">
        <v>9398</v>
      </c>
      <c r="H749" s="34" t="s">
        <v>9398</v>
      </c>
      <c r="I749" s="35" t="s">
        <v>11112</v>
      </c>
      <c r="J749" s="36" t="s">
        <v>602</v>
      </c>
    </row>
    <row r="750" spans="1:10" x14ac:dyDescent="0.25">
      <c r="A750" s="31" t="s">
        <v>1923</v>
      </c>
      <c r="B750" s="31">
        <v>16.080100000000002</v>
      </c>
      <c r="C750" s="32" t="s">
        <v>11113</v>
      </c>
      <c r="D750" s="31" t="s">
        <v>11022</v>
      </c>
      <c r="E750" s="40" t="s">
        <v>11114</v>
      </c>
      <c r="F750" s="38" t="s">
        <v>8969</v>
      </c>
      <c r="G750" s="34" t="s">
        <v>9398</v>
      </c>
      <c r="I750" s="35" t="s">
        <v>11112</v>
      </c>
      <c r="J750" s="36" t="s">
        <v>1923</v>
      </c>
    </row>
    <row r="751" spans="1:10" x14ac:dyDescent="0.25">
      <c r="A751" s="31" t="s">
        <v>604</v>
      </c>
      <c r="B751" s="31">
        <v>16.09</v>
      </c>
      <c r="C751" s="32" t="s">
        <v>11115</v>
      </c>
      <c r="D751" s="31" t="s">
        <v>11022</v>
      </c>
      <c r="E751" s="40" t="s">
        <v>11116</v>
      </c>
      <c r="F751" s="38" t="s">
        <v>8969</v>
      </c>
      <c r="G751" s="34" t="s">
        <v>9399</v>
      </c>
      <c r="I751" s="35" t="s">
        <v>11117</v>
      </c>
      <c r="J751" s="36" t="s">
        <v>604</v>
      </c>
    </row>
    <row r="752" spans="1:10" x14ac:dyDescent="0.25">
      <c r="A752" s="31" t="s">
        <v>603</v>
      </c>
      <c r="B752" s="31">
        <v>16.09</v>
      </c>
      <c r="C752" s="32" t="s">
        <v>11117</v>
      </c>
      <c r="D752" s="31" t="s">
        <v>11022</v>
      </c>
      <c r="E752" s="40" t="s">
        <v>9399</v>
      </c>
      <c r="F752" s="38" t="s">
        <v>8969</v>
      </c>
      <c r="G752" s="34" t="s">
        <v>9399</v>
      </c>
      <c r="H752" s="34" t="s">
        <v>9399</v>
      </c>
      <c r="I752" s="35" t="s">
        <v>11117</v>
      </c>
      <c r="J752" s="36" t="s">
        <v>603</v>
      </c>
    </row>
    <row r="753" spans="1:10" x14ac:dyDescent="0.25">
      <c r="A753" s="31" t="s">
        <v>605</v>
      </c>
      <c r="B753" s="31">
        <v>16.0901</v>
      </c>
      <c r="C753" s="32" t="s">
        <v>11118</v>
      </c>
      <c r="D753" s="31" t="s">
        <v>11022</v>
      </c>
      <c r="E753" s="40" t="s">
        <v>11119</v>
      </c>
      <c r="F753" s="38" t="s">
        <v>8969</v>
      </c>
      <c r="G753" s="34" t="s">
        <v>9399</v>
      </c>
      <c r="I753" s="35" t="s">
        <v>11117</v>
      </c>
      <c r="J753" s="36" t="s">
        <v>605</v>
      </c>
    </row>
    <row r="754" spans="1:10" x14ac:dyDescent="0.25">
      <c r="A754" s="31" t="s">
        <v>606</v>
      </c>
      <c r="B754" s="31">
        <v>16.090199999999999</v>
      </c>
      <c r="C754" s="32" t="s">
        <v>11120</v>
      </c>
      <c r="D754" s="31" t="s">
        <v>11022</v>
      </c>
      <c r="E754" s="40" t="s">
        <v>11121</v>
      </c>
      <c r="F754" s="38" t="s">
        <v>8969</v>
      </c>
      <c r="G754" s="34" t="s">
        <v>9399</v>
      </c>
      <c r="I754" s="35" t="s">
        <v>11117</v>
      </c>
      <c r="J754" s="36" t="s">
        <v>606</v>
      </c>
    </row>
    <row r="755" spans="1:10" x14ac:dyDescent="0.25">
      <c r="A755" s="31" t="s">
        <v>607</v>
      </c>
      <c r="B755" s="31">
        <v>16.090399999999999</v>
      </c>
      <c r="C755" s="32" t="s">
        <v>11122</v>
      </c>
      <c r="D755" s="31" t="s">
        <v>11022</v>
      </c>
      <c r="E755" s="40" t="s">
        <v>11123</v>
      </c>
      <c r="F755" s="38" t="s">
        <v>8969</v>
      </c>
      <c r="G755" s="34" t="s">
        <v>9399</v>
      </c>
      <c r="I755" s="35" t="s">
        <v>11117</v>
      </c>
      <c r="J755" s="36" t="s">
        <v>607</v>
      </c>
    </row>
    <row r="756" spans="1:10" x14ac:dyDescent="0.25">
      <c r="A756" s="31" t="s">
        <v>608</v>
      </c>
      <c r="B756" s="31">
        <v>16.090499999999999</v>
      </c>
      <c r="C756" s="32" t="s">
        <v>11124</v>
      </c>
      <c r="D756" s="31" t="s">
        <v>11022</v>
      </c>
      <c r="E756" s="40" t="s">
        <v>11125</v>
      </c>
      <c r="F756" s="38" t="s">
        <v>8969</v>
      </c>
      <c r="G756" s="34" t="s">
        <v>9399</v>
      </c>
      <c r="I756" s="35" t="s">
        <v>11117</v>
      </c>
      <c r="J756" s="36" t="s">
        <v>608</v>
      </c>
    </row>
    <row r="757" spans="1:10" x14ac:dyDescent="0.25">
      <c r="A757" s="31" t="s">
        <v>609</v>
      </c>
      <c r="B757" s="31">
        <v>16.090599999999998</v>
      </c>
      <c r="C757" s="32" t="s">
        <v>11126</v>
      </c>
      <c r="D757" s="31" t="s">
        <v>11022</v>
      </c>
      <c r="E757" s="40" t="s">
        <v>11127</v>
      </c>
      <c r="F757" s="38" t="s">
        <v>8969</v>
      </c>
      <c r="G757" s="34" t="s">
        <v>9399</v>
      </c>
      <c r="I757" s="35" t="s">
        <v>11117</v>
      </c>
      <c r="J757" s="36" t="s">
        <v>609</v>
      </c>
    </row>
    <row r="758" spans="1:10" x14ac:dyDescent="0.25">
      <c r="A758" s="31" t="s">
        <v>610</v>
      </c>
      <c r="B758" s="31">
        <v>16.090699999999998</v>
      </c>
      <c r="C758" s="32" t="s">
        <v>11128</v>
      </c>
      <c r="D758" s="31" t="s">
        <v>11022</v>
      </c>
      <c r="E758" s="40" t="s">
        <v>11129</v>
      </c>
      <c r="F758" s="38" t="s">
        <v>8969</v>
      </c>
      <c r="G758" s="34" t="s">
        <v>9399</v>
      </c>
      <c r="I758" s="35" t="s">
        <v>11117</v>
      </c>
      <c r="J758" s="36" t="s">
        <v>610</v>
      </c>
    </row>
    <row r="759" spans="1:10" x14ac:dyDescent="0.25">
      <c r="A759" s="31" t="s">
        <v>611</v>
      </c>
      <c r="B759" s="31">
        <v>16.090800000000002</v>
      </c>
      <c r="C759" s="32" t="s">
        <v>11130</v>
      </c>
      <c r="D759" s="31" t="s">
        <v>11022</v>
      </c>
      <c r="E759" s="40" t="s">
        <v>11131</v>
      </c>
      <c r="F759" s="38" t="s">
        <v>8969</v>
      </c>
      <c r="G759" s="34" t="s">
        <v>9399</v>
      </c>
      <c r="I759" s="35" t="s">
        <v>11117</v>
      </c>
      <c r="J759" s="36" t="s">
        <v>611</v>
      </c>
    </row>
    <row r="760" spans="1:10" x14ac:dyDescent="0.25">
      <c r="A760" s="31" t="s">
        <v>612</v>
      </c>
      <c r="B760" s="31">
        <v>16.099900000000002</v>
      </c>
      <c r="C760" s="32" t="s">
        <v>11132</v>
      </c>
      <c r="D760" s="31" t="s">
        <v>11022</v>
      </c>
      <c r="E760" s="40" t="s">
        <v>11133</v>
      </c>
      <c r="F760" s="38" t="s">
        <v>8969</v>
      </c>
      <c r="G760" s="34" t="s">
        <v>9399</v>
      </c>
      <c r="I760" s="35" t="s">
        <v>11117</v>
      </c>
      <c r="J760" s="36" t="s">
        <v>612</v>
      </c>
    </row>
    <row r="761" spans="1:10" x14ac:dyDescent="0.25">
      <c r="A761" s="31" t="s">
        <v>613</v>
      </c>
      <c r="B761" s="31">
        <v>16.100000000000001</v>
      </c>
      <c r="C761" s="32" t="s">
        <v>11134</v>
      </c>
      <c r="D761" s="31" t="s">
        <v>11022</v>
      </c>
      <c r="E761" s="40" t="s">
        <v>9400</v>
      </c>
      <c r="F761" s="38" t="s">
        <v>8969</v>
      </c>
      <c r="G761" s="34" t="s">
        <v>9400</v>
      </c>
      <c r="H761" s="34" t="s">
        <v>9400</v>
      </c>
      <c r="I761" s="35" t="s">
        <v>11134</v>
      </c>
      <c r="J761" s="36" t="s">
        <v>613</v>
      </c>
    </row>
    <row r="762" spans="1:10" x14ac:dyDescent="0.25">
      <c r="A762" s="31" t="s">
        <v>613</v>
      </c>
      <c r="B762" s="31">
        <v>16.100100000000001</v>
      </c>
      <c r="C762" s="32" t="s">
        <v>11135</v>
      </c>
      <c r="D762" s="31" t="s">
        <v>11022</v>
      </c>
      <c r="E762" s="40" t="s">
        <v>11136</v>
      </c>
      <c r="F762" s="38" t="s">
        <v>8969</v>
      </c>
      <c r="G762" s="34" t="s">
        <v>9400</v>
      </c>
      <c r="I762" s="35" t="s">
        <v>11134</v>
      </c>
      <c r="J762" s="36" t="s">
        <v>613</v>
      </c>
    </row>
    <row r="763" spans="1:10" x14ac:dyDescent="0.25">
      <c r="A763" s="31" t="s">
        <v>615</v>
      </c>
      <c r="B763" s="31">
        <v>16.11</v>
      </c>
      <c r="C763" s="32" t="s">
        <v>11137</v>
      </c>
      <c r="D763" s="31" t="s">
        <v>11022</v>
      </c>
      <c r="E763" s="40" t="s">
        <v>11138</v>
      </c>
      <c r="F763" s="38" t="s">
        <v>8969</v>
      </c>
      <c r="G763" s="34" t="s">
        <v>9401</v>
      </c>
      <c r="I763" s="35" t="s">
        <v>11139</v>
      </c>
      <c r="J763" s="36" t="s">
        <v>615</v>
      </c>
    </row>
    <row r="764" spans="1:10" x14ac:dyDescent="0.25">
      <c r="A764" s="31" t="s">
        <v>614</v>
      </c>
      <c r="B764" s="31">
        <v>16.11</v>
      </c>
      <c r="C764" s="32" t="s">
        <v>11139</v>
      </c>
      <c r="D764" s="31" t="s">
        <v>11022</v>
      </c>
      <c r="E764" s="40" t="s">
        <v>9401</v>
      </c>
      <c r="F764" s="38" t="s">
        <v>8969</v>
      </c>
      <c r="G764" s="34" t="s">
        <v>9401</v>
      </c>
      <c r="H764" s="34" t="s">
        <v>9401</v>
      </c>
      <c r="I764" s="35" t="s">
        <v>11139</v>
      </c>
      <c r="J764" s="36" t="s">
        <v>614</v>
      </c>
    </row>
    <row r="765" spans="1:10" x14ac:dyDescent="0.25">
      <c r="A765" s="31" t="s">
        <v>616</v>
      </c>
      <c r="B765" s="31">
        <v>16.110099999999999</v>
      </c>
      <c r="C765" s="32" t="s">
        <v>11140</v>
      </c>
      <c r="D765" s="31" t="s">
        <v>11022</v>
      </c>
      <c r="E765" s="40" t="s">
        <v>11141</v>
      </c>
      <c r="F765" s="38" t="s">
        <v>8969</v>
      </c>
      <c r="G765" s="34" t="s">
        <v>9401</v>
      </c>
      <c r="I765" s="35" t="s">
        <v>11139</v>
      </c>
      <c r="J765" s="36" t="s">
        <v>616</v>
      </c>
    </row>
    <row r="766" spans="1:10" x14ac:dyDescent="0.25">
      <c r="A766" s="31" t="s">
        <v>617</v>
      </c>
      <c r="B766" s="31">
        <v>16.110199999999999</v>
      </c>
      <c r="C766" s="32" t="s">
        <v>11142</v>
      </c>
      <c r="D766" s="31" t="s">
        <v>11022</v>
      </c>
      <c r="E766" s="40" t="s">
        <v>11143</v>
      </c>
      <c r="F766" s="38" t="s">
        <v>8969</v>
      </c>
      <c r="G766" s="34" t="s">
        <v>9401</v>
      </c>
      <c r="I766" s="35" t="s">
        <v>11139</v>
      </c>
      <c r="J766" s="36" t="s">
        <v>617</v>
      </c>
    </row>
    <row r="767" spans="1:10" x14ac:dyDescent="0.25">
      <c r="A767" s="31" t="s">
        <v>618</v>
      </c>
      <c r="B767" s="31">
        <v>16.110299999999999</v>
      </c>
      <c r="C767" s="32" t="s">
        <v>11144</v>
      </c>
      <c r="D767" s="31" t="s">
        <v>11022</v>
      </c>
      <c r="E767" s="40" t="s">
        <v>11145</v>
      </c>
      <c r="F767" s="38" t="s">
        <v>8969</v>
      </c>
      <c r="G767" s="34" t="s">
        <v>9401</v>
      </c>
      <c r="I767" s="35" t="s">
        <v>11139</v>
      </c>
      <c r="J767" s="36" t="s">
        <v>618</v>
      </c>
    </row>
    <row r="768" spans="1:10" x14ac:dyDescent="0.25">
      <c r="A768" s="31" t="s">
        <v>619</v>
      </c>
      <c r="B768" s="31">
        <v>16.119900000000001</v>
      </c>
      <c r="C768" s="32" t="s">
        <v>11146</v>
      </c>
      <c r="D768" s="31" t="s">
        <v>11022</v>
      </c>
      <c r="E768" s="40" t="s">
        <v>11147</v>
      </c>
      <c r="F768" s="38" t="s">
        <v>8969</v>
      </c>
      <c r="G768" s="34" t="s">
        <v>9401</v>
      </c>
      <c r="I768" s="35" t="s">
        <v>11139</v>
      </c>
      <c r="J768" s="36" t="s">
        <v>619</v>
      </c>
    </row>
    <row r="769" spans="1:10" x14ac:dyDescent="0.25">
      <c r="A769" s="31" t="s">
        <v>621</v>
      </c>
      <c r="B769" s="31">
        <v>16.12</v>
      </c>
      <c r="C769" s="32" t="s">
        <v>11148</v>
      </c>
      <c r="D769" s="31" t="s">
        <v>11022</v>
      </c>
      <c r="E769" s="40" t="s">
        <v>11149</v>
      </c>
      <c r="F769" s="38" t="s">
        <v>8969</v>
      </c>
      <c r="G769" s="34" t="s">
        <v>9402</v>
      </c>
      <c r="I769" s="35" t="s">
        <v>11150</v>
      </c>
      <c r="J769" s="36" t="s">
        <v>621</v>
      </c>
    </row>
    <row r="770" spans="1:10" x14ac:dyDescent="0.25">
      <c r="A770" s="31" t="s">
        <v>620</v>
      </c>
      <c r="B770" s="31">
        <v>16.12</v>
      </c>
      <c r="C770" s="32" t="s">
        <v>11150</v>
      </c>
      <c r="D770" s="31" t="s">
        <v>11022</v>
      </c>
      <c r="E770" s="40" t="s">
        <v>9402</v>
      </c>
      <c r="F770" s="38" t="s">
        <v>8969</v>
      </c>
      <c r="G770" s="34" t="s">
        <v>9402</v>
      </c>
      <c r="H770" s="34" t="s">
        <v>9402</v>
      </c>
      <c r="I770" s="35" t="s">
        <v>11150</v>
      </c>
      <c r="J770" s="36" t="s">
        <v>620</v>
      </c>
    </row>
    <row r="771" spans="1:10" x14ac:dyDescent="0.25">
      <c r="A771" s="31" t="s">
        <v>622</v>
      </c>
      <c r="B771" s="31">
        <v>16.120200000000001</v>
      </c>
      <c r="C771" s="32" t="s">
        <v>11151</v>
      </c>
      <c r="D771" s="31" t="s">
        <v>11022</v>
      </c>
      <c r="E771" s="40" t="s">
        <v>11152</v>
      </c>
      <c r="F771" s="38" t="s">
        <v>8969</v>
      </c>
      <c r="G771" s="34" t="s">
        <v>9402</v>
      </c>
      <c r="I771" s="35" t="s">
        <v>11150</v>
      </c>
      <c r="J771" s="36" t="s">
        <v>622</v>
      </c>
    </row>
    <row r="772" spans="1:10" x14ac:dyDescent="0.25">
      <c r="A772" s="31" t="s">
        <v>623</v>
      </c>
      <c r="B772" s="31">
        <v>16.1203</v>
      </c>
      <c r="C772" s="32" t="s">
        <v>11153</v>
      </c>
      <c r="D772" s="31" t="s">
        <v>11022</v>
      </c>
      <c r="E772" s="40" t="s">
        <v>11154</v>
      </c>
      <c r="F772" s="38" t="s">
        <v>8969</v>
      </c>
      <c r="G772" s="34" t="s">
        <v>9402</v>
      </c>
      <c r="I772" s="35" t="s">
        <v>11150</v>
      </c>
      <c r="J772" s="36" t="s">
        <v>623</v>
      </c>
    </row>
    <row r="773" spans="1:10" x14ac:dyDescent="0.25">
      <c r="A773" s="31" t="s">
        <v>624</v>
      </c>
      <c r="B773" s="31">
        <v>16.129899999999999</v>
      </c>
      <c r="C773" s="32" t="s">
        <v>11155</v>
      </c>
      <c r="D773" s="31" t="s">
        <v>11022</v>
      </c>
      <c r="E773" s="40" t="s">
        <v>11156</v>
      </c>
      <c r="F773" s="38" t="s">
        <v>8969</v>
      </c>
      <c r="G773" s="34" t="s">
        <v>9402</v>
      </c>
      <c r="I773" s="35" t="s">
        <v>11150</v>
      </c>
      <c r="J773" s="36" t="s">
        <v>624</v>
      </c>
    </row>
    <row r="774" spans="1:10" x14ac:dyDescent="0.25">
      <c r="A774" s="31" t="s">
        <v>625</v>
      </c>
      <c r="B774" s="31">
        <v>16.13</v>
      </c>
      <c r="C774" s="32" t="s">
        <v>11157</v>
      </c>
      <c r="D774" s="31" t="s">
        <v>11022</v>
      </c>
      <c r="E774" s="40" t="s">
        <v>9403</v>
      </c>
      <c r="F774" s="38" t="s">
        <v>8969</v>
      </c>
      <c r="G774" s="34" t="s">
        <v>9403</v>
      </c>
      <c r="H774" s="34" t="s">
        <v>9403</v>
      </c>
      <c r="I774" s="35" t="s">
        <v>11157</v>
      </c>
      <c r="J774" s="36" t="s">
        <v>625</v>
      </c>
    </row>
    <row r="775" spans="1:10" x14ac:dyDescent="0.25">
      <c r="A775" s="31" t="s">
        <v>625</v>
      </c>
      <c r="B775" s="31">
        <v>16.130099999999999</v>
      </c>
      <c r="C775" s="32" t="s">
        <v>11158</v>
      </c>
      <c r="D775" s="31" t="s">
        <v>11022</v>
      </c>
      <c r="E775" s="40" t="s">
        <v>11159</v>
      </c>
      <c r="F775" s="38" t="s">
        <v>8969</v>
      </c>
      <c r="G775" s="34" t="s">
        <v>9403</v>
      </c>
      <c r="I775" s="35" t="s">
        <v>11157</v>
      </c>
      <c r="J775" s="36" t="s">
        <v>625</v>
      </c>
    </row>
    <row r="776" spans="1:10" x14ac:dyDescent="0.25">
      <c r="A776" s="31" t="s">
        <v>626</v>
      </c>
      <c r="B776" s="31">
        <v>16.14</v>
      </c>
      <c r="C776" s="32" t="s">
        <v>11160</v>
      </c>
      <c r="D776" s="31" t="s">
        <v>11022</v>
      </c>
      <c r="E776" s="40" t="s">
        <v>9404</v>
      </c>
      <c r="F776" s="38" t="s">
        <v>8969</v>
      </c>
      <c r="G776" s="34" t="s">
        <v>9404</v>
      </c>
      <c r="H776" s="34" t="s">
        <v>9404</v>
      </c>
      <c r="I776" s="35" t="s">
        <v>11160</v>
      </c>
      <c r="J776" s="36" t="s">
        <v>626</v>
      </c>
    </row>
    <row r="777" spans="1:10" x14ac:dyDescent="0.25">
      <c r="A777" s="31" t="s">
        <v>627</v>
      </c>
      <c r="B777" s="31">
        <v>16.14</v>
      </c>
      <c r="C777" s="32" t="s">
        <v>11161</v>
      </c>
      <c r="D777" s="31" t="s">
        <v>11022</v>
      </c>
      <c r="E777" s="40" t="s">
        <v>11162</v>
      </c>
      <c r="F777" s="38" t="s">
        <v>8969</v>
      </c>
      <c r="G777" s="34" t="s">
        <v>9404</v>
      </c>
      <c r="I777" s="35" t="s">
        <v>11160</v>
      </c>
      <c r="J777" s="36" t="s">
        <v>627</v>
      </c>
    </row>
    <row r="778" spans="1:10" x14ac:dyDescent="0.25">
      <c r="A778" s="31" t="s">
        <v>628</v>
      </c>
      <c r="B778" s="31">
        <v>16.1401</v>
      </c>
      <c r="C778" s="32" t="s">
        <v>11163</v>
      </c>
      <c r="D778" s="31" t="s">
        <v>11022</v>
      </c>
      <c r="E778" s="40" t="s">
        <v>11164</v>
      </c>
      <c r="F778" s="38" t="s">
        <v>8969</v>
      </c>
      <c r="G778" s="34" t="s">
        <v>9404</v>
      </c>
      <c r="I778" s="35" t="s">
        <v>11160</v>
      </c>
      <c r="J778" s="36" t="s">
        <v>628</v>
      </c>
    </row>
    <row r="779" spans="1:10" x14ac:dyDescent="0.25">
      <c r="A779" s="31" t="s">
        <v>629</v>
      </c>
      <c r="B779" s="31">
        <v>16.1402</v>
      </c>
      <c r="C779" s="32" t="s">
        <v>11165</v>
      </c>
      <c r="D779" s="31" t="s">
        <v>11022</v>
      </c>
      <c r="E779" s="40" t="s">
        <v>11166</v>
      </c>
      <c r="F779" s="38" t="s">
        <v>8969</v>
      </c>
      <c r="G779" s="34" t="s">
        <v>9404</v>
      </c>
      <c r="I779" s="35" t="s">
        <v>11160</v>
      </c>
      <c r="J779" s="36" t="s">
        <v>629</v>
      </c>
    </row>
    <row r="780" spans="1:10" x14ac:dyDescent="0.25">
      <c r="A780" s="31" t="s">
        <v>630</v>
      </c>
      <c r="B780" s="31">
        <v>16.1403</v>
      </c>
      <c r="C780" s="32" t="s">
        <v>11167</v>
      </c>
      <c r="D780" s="31" t="s">
        <v>11022</v>
      </c>
      <c r="E780" s="40" t="s">
        <v>11168</v>
      </c>
      <c r="F780" s="38" t="s">
        <v>8969</v>
      </c>
      <c r="G780" s="34" t="s">
        <v>9404</v>
      </c>
      <c r="I780" s="35" t="s">
        <v>11160</v>
      </c>
      <c r="J780" s="36" t="s">
        <v>630</v>
      </c>
    </row>
    <row r="781" spans="1:10" x14ac:dyDescent="0.25">
      <c r="A781" s="31" t="s">
        <v>631</v>
      </c>
      <c r="B781" s="31">
        <v>16.1404</v>
      </c>
      <c r="C781" s="32" t="s">
        <v>11169</v>
      </c>
      <c r="D781" s="31" t="s">
        <v>11022</v>
      </c>
      <c r="E781" s="40" t="s">
        <v>11170</v>
      </c>
      <c r="F781" s="38" t="s">
        <v>8969</v>
      </c>
      <c r="G781" s="34" t="s">
        <v>9404</v>
      </c>
      <c r="I781" s="35" t="s">
        <v>11160</v>
      </c>
      <c r="J781" s="36" t="s">
        <v>631</v>
      </c>
    </row>
    <row r="782" spans="1:10" x14ac:dyDescent="0.25">
      <c r="A782" s="31" t="s">
        <v>632</v>
      </c>
      <c r="B782" s="31">
        <v>16.140499999999999</v>
      </c>
      <c r="C782" s="32" t="s">
        <v>11171</v>
      </c>
      <c r="D782" s="31" t="s">
        <v>11022</v>
      </c>
      <c r="E782" s="40" t="s">
        <v>11172</v>
      </c>
      <c r="F782" s="38" t="s">
        <v>8969</v>
      </c>
      <c r="G782" s="34" t="s">
        <v>9404</v>
      </c>
      <c r="I782" s="35" t="s">
        <v>11160</v>
      </c>
      <c r="J782" s="36" t="s">
        <v>632</v>
      </c>
    </row>
    <row r="783" spans="1:10" x14ac:dyDescent="0.25">
      <c r="A783" s="31" t="s">
        <v>633</v>
      </c>
      <c r="B783" s="31">
        <v>16.140599999999999</v>
      </c>
      <c r="C783" s="32" t="s">
        <v>11173</v>
      </c>
      <c r="D783" s="31" t="s">
        <v>11022</v>
      </c>
      <c r="E783" s="40" t="s">
        <v>11174</v>
      </c>
      <c r="F783" s="38" t="s">
        <v>8969</v>
      </c>
      <c r="G783" s="34" t="s">
        <v>9404</v>
      </c>
      <c r="I783" s="35" t="s">
        <v>11160</v>
      </c>
      <c r="J783" s="36" t="s">
        <v>633</v>
      </c>
    </row>
    <row r="784" spans="1:10" x14ac:dyDescent="0.25">
      <c r="A784" s="31" t="s">
        <v>634</v>
      </c>
      <c r="B784" s="31">
        <v>16.140699999999999</v>
      </c>
      <c r="C784" s="32" t="s">
        <v>11175</v>
      </c>
      <c r="D784" s="31" t="s">
        <v>11022</v>
      </c>
      <c r="E784" s="40" t="s">
        <v>11176</v>
      </c>
      <c r="F784" s="38" t="s">
        <v>8969</v>
      </c>
      <c r="G784" s="34" t="s">
        <v>9404</v>
      </c>
      <c r="I784" s="35" t="s">
        <v>11160</v>
      </c>
      <c r="J784" s="36" t="s">
        <v>634</v>
      </c>
    </row>
    <row r="785" spans="1:10" x14ac:dyDescent="0.25">
      <c r="A785" s="31" t="s">
        <v>635</v>
      </c>
      <c r="B785" s="31">
        <v>16.140799999999999</v>
      </c>
      <c r="C785" s="32" t="s">
        <v>11177</v>
      </c>
      <c r="D785" s="31" t="s">
        <v>11022</v>
      </c>
      <c r="E785" s="40" t="s">
        <v>11178</v>
      </c>
      <c r="F785" s="38" t="s">
        <v>8969</v>
      </c>
      <c r="G785" s="34" t="s">
        <v>9404</v>
      </c>
      <c r="I785" s="35" t="s">
        <v>11160</v>
      </c>
      <c r="J785" s="36" t="s">
        <v>635</v>
      </c>
    </row>
    <row r="786" spans="1:10" x14ac:dyDescent="0.25">
      <c r="A786" s="31" t="s">
        <v>1924</v>
      </c>
      <c r="B786" s="31">
        <v>16.140899999999998</v>
      </c>
      <c r="C786" s="32" t="s">
        <v>11179</v>
      </c>
      <c r="D786" s="31" t="s">
        <v>11022</v>
      </c>
      <c r="E786" s="40" t="s">
        <v>11180</v>
      </c>
      <c r="F786" s="38" t="s">
        <v>8969</v>
      </c>
      <c r="G786" s="34" t="s">
        <v>9404</v>
      </c>
      <c r="I786" s="35" t="s">
        <v>11160</v>
      </c>
      <c r="J786" s="36" t="s">
        <v>1924</v>
      </c>
    </row>
    <row r="787" spans="1:10" x14ac:dyDescent="0.25">
      <c r="A787" s="31" t="s">
        <v>636</v>
      </c>
      <c r="B787" s="31">
        <v>16.149899999999999</v>
      </c>
      <c r="C787" s="32" t="s">
        <v>11181</v>
      </c>
      <c r="D787" s="31" t="s">
        <v>11022</v>
      </c>
      <c r="E787" s="40" t="s">
        <v>11182</v>
      </c>
      <c r="F787" s="38" t="s">
        <v>8969</v>
      </c>
      <c r="G787" s="34" t="s">
        <v>9404</v>
      </c>
      <c r="I787" s="35" t="s">
        <v>11160</v>
      </c>
      <c r="J787" s="36" t="s">
        <v>636</v>
      </c>
    </row>
    <row r="788" spans="1:10" x14ac:dyDescent="0.25">
      <c r="A788" s="31" t="s">
        <v>637</v>
      </c>
      <c r="B788" s="31">
        <v>16.149999999999999</v>
      </c>
      <c r="C788" s="32" t="s">
        <v>11183</v>
      </c>
      <c r="D788" s="31" t="s">
        <v>11022</v>
      </c>
      <c r="E788" s="40" t="s">
        <v>9405</v>
      </c>
      <c r="F788" s="38" t="s">
        <v>8969</v>
      </c>
      <c r="G788" s="34" t="s">
        <v>9405</v>
      </c>
      <c r="H788" s="34" t="s">
        <v>9405</v>
      </c>
      <c r="I788" s="35" t="s">
        <v>11183</v>
      </c>
      <c r="J788" s="36" t="s">
        <v>637</v>
      </c>
    </row>
    <row r="789" spans="1:10" x14ac:dyDescent="0.25">
      <c r="A789" s="31" t="s">
        <v>638</v>
      </c>
      <c r="B789" s="31">
        <v>16.150099999999998</v>
      </c>
      <c r="C789" s="32" t="s">
        <v>11184</v>
      </c>
      <c r="D789" s="31" t="s">
        <v>11022</v>
      </c>
      <c r="E789" s="40" t="s">
        <v>11185</v>
      </c>
      <c r="F789" s="38" t="s">
        <v>8969</v>
      </c>
      <c r="G789" s="34" t="s">
        <v>9405</v>
      </c>
      <c r="I789" s="35" t="s">
        <v>11183</v>
      </c>
      <c r="J789" s="36" t="s">
        <v>638</v>
      </c>
    </row>
    <row r="790" spans="1:10" x14ac:dyDescent="0.25">
      <c r="A790" s="31" t="s">
        <v>639</v>
      </c>
      <c r="B790" s="31">
        <v>16.150200000000002</v>
      </c>
      <c r="C790" s="32" t="s">
        <v>11186</v>
      </c>
      <c r="D790" s="31" t="s">
        <v>11022</v>
      </c>
      <c r="E790" s="40" t="s">
        <v>11187</v>
      </c>
      <c r="F790" s="38" t="s">
        <v>8969</v>
      </c>
      <c r="G790" s="34" t="s">
        <v>9405</v>
      </c>
      <c r="I790" s="35" t="s">
        <v>11183</v>
      </c>
      <c r="J790" s="36" t="s">
        <v>639</v>
      </c>
    </row>
    <row r="791" spans="1:10" x14ac:dyDescent="0.25">
      <c r="A791" s="31" t="s">
        <v>640</v>
      </c>
      <c r="B791" s="31">
        <v>16.150300000000001</v>
      </c>
      <c r="C791" s="32" t="s">
        <v>11188</v>
      </c>
      <c r="D791" s="31" t="s">
        <v>11022</v>
      </c>
      <c r="E791" s="40" t="s">
        <v>11189</v>
      </c>
      <c r="F791" s="38" t="s">
        <v>8969</v>
      </c>
      <c r="G791" s="34" t="s">
        <v>9405</v>
      </c>
      <c r="I791" s="35" t="s">
        <v>11183</v>
      </c>
      <c r="J791" s="36" t="s">
        <v>640</v>
      </c>
    </row>
    <row r="792" spans="1:10" x14ac:dyDescent="0.25">
      <c r="A792" s="31" t="s">
        <v>641</v>
      </c>
      <c r="B792" s="31">
        <v>16.150400000000001</v>
      </c>
      <c r="C792" s="32" t="s">
        <v>11190</v>
      </c>
      <c r="D792" s="31" t="s">
        <v>11022</v>
      </c>
      <c r="E792" s="40" t="s">
        <v>11191</v>
      </c>
      <c r="F792" s="38" t="s">
        <v>8969</v>
      </c>
      <c r="G792" s="34" t="s">
        <v>9405</v>
      </c>
      <c r="I792" s="35" t="s">
        <v>11183</v>
      </c>
      <c r="J792" s="36" t="s">
        <v>641</v>
      </c>
    </row>
    <row r="793" spans="1:10" x14ac:dyDescent="0.25">
      <c r="A793" s="31" t="s">
        <v>642</v>
      </c>
      <c r="B793" s="31">
        <v>16.1599</v>
      </c>
      <c r="C793" s="32" t="s">
        <v>11192</v>
      </c>
      <c r="D793" s="31" t="s">
        <v>11022</v>
      </c>
      <c r="E793" s="40" t="s">
        <v>11193</v>
      </c>
      <c r="F793" s="38" t="s">
        <v>8969</v>
      </c>
      <c r="G793" s="34" t="s">
        <v>9405</v>
      </c>
      <c r="I793" s="35" t="s">
        <v>11183</v>
      </c>
      <c r="J793" s="36" t="s">
        <v>642</v>
      </c>
    </row>
    <row r="794" spans="1:10" x14ac:dyDescent="0.25">
      <c r="A794" s="31" t="s">
        <v>643</v>
      </c>
      <c r="B794" s="31">
        <v>16.16</v>
      </c>
      <c r="C794" s="32" t="s">
        <v>11194</v>
      </c>
      <c r="D794" s="31" t="s">
        <v>11022</v>
      </c>
      <c r="E794" s="40" t="s">
        <v>9406</v>
      </c>
      <c r="F794" s="38" t="s">
        <v>8969</v>
      </c>
      <c r="G794" s="34" t="s">
        <v>9406</v>
      </c>
      <c r="H794" s="34" t="s">
        <v>9406</v>
      </c>
      <c r="I794" s="35" t="s">
        <v>11194</v>
      </c>
      <c r="J794" s="36" t="s">
        <v>643</v>
      </c>
    </row>
    <row r="795" spans="1:10" x14ac:dyDescent="0.25">
      <c r="A795" s="31" t="s">
        <v>644</v>
      </c>
      <c r="B795" s="31">
        <v>16.1601</v>
      </c>
      <c r="C795" s="32" t="s">
        <v>11195</v>
      </c>
      <c r="D795" s="31" t="s">
        <v>11022</v>
      </c>
      <c r="E795" s="40" t="s">
        <v>11196</v>
      </c>
      <c r="F795" s="38" t="s">
        <v>8969</v>
      </c>
      <c r="G795" s="34" t="s">
        <v>9406</v>
      </c>
      <c r="I795" s="35" t="s">
        <v>11194</v>
      </c>
      <c r="J795" s="36" t="s">
        <v>644</v>
      </c>
    </row>
    <row r="796" spans="1:10" x14ac:dyDescent="0.25">
      <c r="A796" s="31" t="s">
        <v>645</v>
      </c>
      <c r="B796" s="31">
        <v>16.1602</v>
      </c>
      <c r="C796" s="32" t="s">
        <v>11197</v>
      </c>
      <c r="D796" s="31" t="s">
        <v>11022</v>
      </c>
      <c r="E796" s="40" t="s">
        <v>11198</v>
      </c>
      <c r="F796" s="38" t="s">
        <v>8969</v>
      </c>
      <c r="G796" s="34" t="s">
        <v>9406</v>
      </c>
      <c r="I796" s="35" t="s">
        <v>11194</v>
      </c>
      <c r="J796" s="36" t="s">
        <v>645</v>
      </c>
    </row>
    <row r="797" spans="1:10" x14ac:dyDescent="0.25">
      <c r="A797" s="31" t="s">
        <v>646</v>
      </c>
      <c r="B797" s="31">
        <v>16.160299999999999</v>
      </c>
      <c r="C797" s="32" t="s">
        <v>11199</v>
      </c>
      <c r="D797" s="31" t="s">
        <v>11022</v>
      </c>
      <c r="E797" s="40" t="s">
        <v>11200</v>
      </c>
      <c r="F797" s="38" t="s">
        <v>8969</v>
      </c>
      <c r="G797" s="34" t="s">
        <v>9406</v>
      </c>
      <c r="I797" s="35" t="s">
        <v>11194</v>
      </c>
      <c r="J797" s="36" t="s">
        <v>646</v>
      </c>
    </row>
    <row r="798" spans="1:10" x14ac:dyDescent="0.25">
      <c r="A798" s="31" t="s">
        <v>647</v>
      </c>
      <c r="B798" s="31">
        <v>16.169899999999998</v>
      </c>
      <c r="C798" s="32" t="s">
        <v>11201</v>
      </c>
      <c r="D798" s="31" t="s">
        <v>11022</v>
      </c>
      <c r="E798" s="40" t="s">
        <v>11202</v>
      </c>
      <c r="F798" s="38" t="s">
        <v>8969</v>
      </c>
      <c r="G798" s="34" t="s">
        <v>9406</v>
      </c>
      <c r="I798" s="35" t="s">
        <v>11194</v>
      </c>
      <c r="J798" s="36" t="s">
        <v>647</v>
      </c>
    </row>
    <row r="799" spans="1:10" x14ac:dyDescent="0.25">
      <c r="A799" s="31" t="s">
        <v>967</v>
      </c>
      <c r="B799" s="31">
        <v>16.170000000000002</v>
      </c>
      <c r="C799" s="32" t="s">
        <v>11203</v>
      </c>
      <c r="D799" s="31" t="s">
        <v>11022</v>
      </c>
      <c r="E799" s="40" t="s">
        <v>9407</v>
      </c>
      <c r="F799" s="38" t="s">
        <v>8969</v>
      </c>
      <c r="G799" s="34" t="s">
        <v>9407</v>
      </c>
      <c r="H799" s="34" t="s">
        <v>9407</v>
      </c>
      <c r="I799" s="35" t="s">
        <v>11203</v>
      </c>
      <c r="J799" s="36" t="s">
        <v>967</v>
      </c>
    </row>
    <row r="800" spans="1:10" x14ac:dyDescent="0.25">
      <c r="A800" s="31" t="s">
        <v>1925</v>
      </c>
      <c r="B800" s="31">
        <v>16.170100000000001</v>
      </c>
      <c r="C800" s="32" t="s">
        <v>11204</v>
      </c>
      <c r="D800" s="31" t="s">
        <v>11022</v>
      </c>
      <c r="E800" s="40" t="s">
        <v>11205</v>
      </c>
      <c r="F800" s="38" t="s">
        <v>8969</v>
      </c>
      <c r="G800" s="34" t="s">
        <v>9407</v>
      </c>
      <c r="I800" s="35" t="s">
        <v>11203</v>
      </c>
      <c r="J800" s="36" t="s">
        <v>1925</v>
      </c>
    </row>
    <row r="801" spans="1:10" x14ac:dyDescent="0.25">
      <c r="A801" s="31" t="s">
        <v>1793</v>
      </c>
      <c r="B801" s="31">
        <v>16.170200000000001</v>
      </c>
      <c r="C801" s="32" t="s">
        <v>11206</v>
      </c>
      <c r="D801" s="31" t="s">
        <v>11022</v>
      </c>
      <c r="E801" s="40" t="s">
        <v>11207</v>
      </c>
      <c r="F801" s="38" t="s">
        <v>8969</v>
      </c>
      <c r="G801" s="34" t="s">
        <v>9407</v>
      </c>
      <c r="I801" s="35" t="s">
        <v>11203</v>
      </c>
      <c r="J801" s="36" t="s">
        <v>1793</v>
      </c>
    </row>
    <row r="802" spans="1:10" x14ac:dyDescent="0.25">
      <c r="A802" s="31" t="s">
        <v>1793</v>
      </c>
      <c r="B802" s="31">
        <v>16.1799</v>
      </c>
      <c r="C802" s="32" t="s">
        <v>11208</v>
      </c>
      <c r="D802" s="31" t="s">
        <v>11022</v>
      </c>
      <c r="E802" s="40" t="s">
        <v>11209</v>
      </c>
      <c r="F802" s="38" t="s">
        <v>8969</v>
      </c>
      <c r="G802" s="34" t="s">
        <v>9407</v>
      </c>
      <c r="I802" s="35" t="s">
        <v>11203</v>
      </c>
      <c r="J802" s="36" t="s">
        <v>1793</v>
      </c>
    </row>
    <row r="803" spans="1:10" x14ac:dyDescent="0.25">
      <c r="A803" s="31" t="s">
        <v>1926</v>
      </c>
      <c r="B803" s="31">
        <v>16.18</v>
      </c>
      <c r="C803" s="32" t="s">
        <v>11210</v>
      </c>
      <c r="D803" s="31" t="s">
        <v>11022</v>
      </c>
      <c r="E803" s="40" t="s">
        <v>9408</v>
      </c>
      <c r="F803" s="38" t="s">
        <v>8969</v>
      </c>
      <c r="G803" s="34" t="s">
        <v>9408</v>
      </c>
      <c r="H803" s="34" t="s">
        <v>9408</v>
      </c>
      <c r="I803" s="43" t="s">
        <v>11210</v>
      </c>
      <c r="J803" s="36" t="s">
        <v>1926</v>
      </c>
    </row>
    <row r="804" spans="1:10" x14ac:dyDescent="0.25">
      <c r="A804" s="31" t="s">
        <v>1927</v>
      </c>
      <c r="B804" s="31">
        <v>16.180099999999999</v>
      </c>
      <c r="C804" s="32" t="s">
        <v>11211</v>
      </c>
      <c r="D804" s="31" t="s">
        <v>11022</v>
      </c>
      <c r="E804" s="40" t="s">
        <v>11212</v>
      </c>
      <c r="F804" s="38" t="s">
        <v>8969</v>
      </c>
      <c r="G804" s="34" t="s">
        <v>9408</v>
      </c>
      <c r="I804" s="43" t="s">
        <v>11210</v>
      </c>
      <c r="J804" s="36" t="s">
        <v>1927</v>
      </c>
    </row>
    <row r="805" spans="1:10" x14ac:dyDescent="0.25">
      <c r="A805" s="31" t="s">
        <v>648</v>
      </c>
      <c r="B805" s="31">
        <v>16.989999999999998</v>
      </c>
      <c r="C805" s="32" t="s">
        <v>11213</v>
      </c>
      <c r="D805" s="31" t="s">
        <v>11022</v>
      </c>
      <c r="E805" s="40" t="s">
        <v>9409</v>
      </c>
      <c r="F805" s="38" t="s">
        <v>8969</v>
      </c>
      <c r="G805" s="34" t="s">
        <v>9409</v>
      </c>
      <c r="H805" s="34" t="s">
        <v>9409</v>
      </c>
      <c r="I805" s="35" t="s">
        <v>11213</v>
      </c>
      <c r="J805" s="36" t="s">
        <v>648</v>
      </c>
    </row>
    <row r="806" spans="1:10" x14ac:dyDescent="0.25">
      <c r="A806" s="31" t="s">
        <v>648</v>
      </c>
      <c r="B806" s="31">
        <v>16.9999</v>
      </c>
      <c r="C806" s="32" t="s">
        <v>11214</v>
      </c>
      <c r="D806" s="31" t="s">
        <v>11022</v>
      </c>
      <c r="E806" s="40" t="s">
        <v>11215</v>
      </c>
      <c r="F806" s="38" t="s">
        <v>8969</v>
      </c>
      <c r="G806" s="34" t="s">
        <v>9409</v>
      </c>
      <c r="I806" s="35" t="s">
        <v>11213</v>
      </c>
      <c r="J806" s="36" t="s">
        <v>648</v>
      </c>
    </row>
    <row r="807" spans="1:10" x14ac:dyDescent="0.25">
      <c r="A807" s="31" t="s">
        <v>649</v>
      </c>
      <c r="B807" s="31">
        <v>19</v>
      </c>
      <c r="C807" s="32" t="s">
        <v>11216</v>
      </c>
      <c r="D807" s="31" t="s">
        <v>11216</v>
      </c>
      <c r="E807" s="40" t="s">
        <v>9410</v>
      </c>
      <c r="F807" s="38" t="s">
        <v>8980</v>
      </c>
      <c r="G807" s="34" t="s">
        <v>9410</v>
      </c>
      <c r="H807" s="34" t="s">
        <v>9410</v>
      </c>
      <c r="I807" s="35" t="s">
        <v>11216</v>
      </c>
      <c r="J807" s="36" t="s">
        <v>649</v>
      </c>
    </row>
    <row r="808" spans="1:10" x14ac:dyDescent="0.25">
      <c r="A808" s="31" t="s">
        <v>650</v>
      </c>
      <c r="B808" s="31">
        <v>19</v>
      </c>
      <c r="C808" s="32" t="s">
        <v>11217</v>
      </c>
      <c r="D808" s="31" t="s">
        <v>11216</v>
      </c>
      <c r="E808" s="40" t="s">
        <v>9411</v>
      </c>
      <c r="F808" s="38" t="s">
        <v>8980</v>
      </c>
      <c r="G808" s="34" t="s">
        <v>9411</v>
      </c>
      <c r="H808" s="34" t="s">
        <v>9411</v>
      </c>
      <c r="I808" s="35" t="s">
        <v>11217</v>
      </c>
      <c r="J808" s="36" t="s">
        <v>650</v>
      </c>
    </row>
    <row r="809" spans="1:10" x14ac:dyDescent="0.25">
      <c r="A809" s="31" t="s">
        <v>650</v>
      </c>
      <c r="B809" s="31">
        <v>19</v>
      </c>
      <c r="C809" s="32" t="s">
        <v>11218</v>
      </c>
      <c r="D809" s="31" t="s">
        <v>11216</v>
      </c>
      <c r="E809" s="40" t="s">
        <v>11219</v>
      </c>
      <c r="F809" s="38" t="s">
        <v>8980</v>
      </c>
      <c r="G809" s="34" t="s">
        <v>9411</v>
      </c>
      <c r="I809" s="35" t="s">
        <v>11217</v>
      </c>
      <c r="J809" s="36" t="s">
        <v>650</v>
      </c>
    </row>
    <row r="810" spans="1:10" x14ac:dyDescent="0.25">
      <c r="A810" s="31" t="s">
        <v>651</v>
      </c>
      <c r="B810" s="31">
        <v>19.010000000000002</v>
      </c>
      <c r="C810" s="32" t="s">
        <v>11220</v>
      </c>
      <c r="D810" s="31" t="s">
        <v>11216</v>
      </c>
      <c r="E810" s="40" t="s">
        <v>9412</v>
      </c>
      <c r="F810" s="38" t="s">
        <v>8980</v>
      </c>
      <c r="G810" s="34" t="s">
        <v>9412</v>
      </c>
      <c r="H810" s="34" t="s">
        <v>9412</v>
      </c>
      <c r="I810" s="35" t="s">
        <v>11220</v>
      </c>
      <c r="J810" s="36" t="s">
        <v>651</v>
      </c>
    </row>
    <row r="811" spans="1:10" x14ac:dyDescent="0.25">
      <c r="A811" s="31" t="s">
        <v>651</v>
      </c>
      <c r="B811" s="31">
        <v>19.010100000000001</v>
      </c>
      <c r="C811" s="32" t="s">
        <v>11221</v>
      </c>
      <c r="D811" s="31" t="s">
        <v>11216</v>
      </c>
      <c r="E811" s="40" t="s">
        <v>11222</v>
      </c>
      <c r="F811" s="38" t="s">
        <v>8980</v>
      </c>
      <c r="G811" s="34" t="s">
        <v>9412</v>
      </c>
      <c r="I811" s="35" t="s">
        <v>11220</v>
      </c>
      <c r="J811" s="36" t="s">
        <v>651</v>
      </c>
    </row>
    <row r="812" spans="1:10" x14ac:dyDescent="0.25">
      <c r="A812" s="31" t="s">
        <v>652</v>
      </c>
      <c r="B812" s="31">
        <v>19.02</v>
      </c>
      <c r="C812" s="32" t="s">
        <v>11223</v>
      </c>
      <c r="D812" s="31" t="s">
        <v>11216</v>
      </c>
      <c r="E812" s="40" t="s">
        <v>9413</v>
      </c>
      <c r="F812" s="38" t="s">
        <v>8980</v>
      </c>
      <c r="G812" s="34" t="s">
        <v>9413</v>
      </c>
      <c r="H812" s="34" t="s">
        <v>9413</v>
      </c>
      <c r="I812" s="35" t="s">
        <v>11223</v>
      </c>
      <c r="J812" s="36" t="s">
        <v>652</v>
      </c>
    </row>
    <row r="813" spans="1:10" x14ac:dyDescent="0.25">
      <c r="A813" s="31" t="s">
        <v>653</v>
      </c>
      <c r="B813" s="31">
        <v>19.020099999999999</v>
      </c>
      <c r="C813" s="32" t="s">
        <v>11224</v>
      </c>
      <c r="D813" s="31" t="s">
        <v>11216</v>
      </c>
      <c r="E813" s="40" t="s">
        <v>11225</v>
      </c>
      <c r="F813" s="38" t="s">
        <v>8980</v>
      </c>
      <c r="G813" s="34" t="s">
        <v>9413</v>
      </c>
      <c r="I813" s="35" t="s">
        <v>11223</v>
      </c>
      <c r="J813" s="36" t="s">
        <v>653</v>
      </c>
    </row>
    <row r="814" spans="1:10" x14ac:dyDescent="0.25">
      <c r="A814" s="31" t="s">
        <v>654</v>
      </c>
      <c r="B814" s="31">
        <v>19.020199999999999</v>
      </c>
      <c r="C814" s="32" t="s">
        <v>11226</v>
      </c>
      <c r="D814" s="31" t="s">
        <v>11216</v>
      </c>
      <c r="E814" s="40" t="s">
        <v>11227</v>
      </c>
      <c r="F814" s="38" t="s">
        <v>8980</v>
      </c>
      <c r="G814" s="34" t="s">
        <v>9413</v>
      </c>
      <c r="I814" s="35" t="s">
        <v>11223</v>
      </c>
      <c r="J814" s="36" t="s">
        <v>654</v>
      </c>
    </row>
    <row r="815" spans="1:10" x14ac:dyDescent="0.25">
      <c r="A815" s="31" t="s">
        <v>655</v>
      </c>
      <c r="B815" s="31">
        <v>19.020299999999999</v>
      </c>
      <c r="C815" s="32" t="s">
        <v>11228</v>
      </c>
      <c r="D815" s="31" t="s">
        <v>11216</v>
      </c>
      <c r="E815" s="40" t="s">
        <v>11229</v>
      </c>
      <c r="F815" s="38" t="s">
        <v>8980</v>
      </c>
      <c r="G815" s="34" t="s">
        <v>9413</v>
      </c>
      <c r="I815" s="35" t="s">
        <v>11223</v>
      </c>
      <c r="J815" s="36" t="s">
        <v>655</v>
      </c>
    </row>
    <row r="816" spans="1:10" x14ac:dyDescent="0.25">
      <c r="A816" s="31" t="s">
        <v>656</v>
      </c>
      <c r="B816" s="31">
        <v>19.029900000000001</v>
      </c>
      <c r="C816" s="32" t="s">
        <v>11230</v>
      </c>
      <c r="D816" s="31" t="s">
        <v>11216</v>
      </c>
      <c r="E816" s="40" t="s">
        <v>11231</v>
      </c>
      <c r="F816" s="38" t="s">
        <v>8980</v>
      </c>
      <c r="G816" s="34" t="s">
        <v>9413</v>
      </c>
      <c r="I816" s="35" t="s">
        <v>11223</v>
      </c>
      <c r="J816" s="36" t="s">
        <v>656</v>
      </c>
    </row>
    <row r="817" spans="1:10" x14ac:dyDescent="0.25">
      <c r="A817" s="31" t="s">
        <v>657</v>
      </c>
      <c r="B817" s="31">
        <v>19.04</v>
      </c>
      <c r="C817" s="32" t="s">
        <v>11232</v>
      </c>
      <c r="D817" s="31" t="s">
        <v>11216</v>
      </c>
      <c r="E817" s="40" t="s">
        <v>9414</v>
      </c>
      <c r="F817" s="38" t="s">
        <v>8980</v>
      </c>
      <c r="G817" s="34" t="s">
        <v>9414</v>
      </c>
      <c r="H817" s="34" t="s">
        <v>9414</v>
      </c>
      <c r="I817" s="35" t="s">
        <v>11232</v>
      </c>
      <c r="J817" s="36" t="s">
        <v>657</v>
      </c>
    </row>
    <row r="818" spans="1:10" x14ac:dyDescent="0.25">
      <c r="A818" s="31" t="s">
        <v>658</v>
      </c>
      <c r="B818" s="31">
        <v>19.040099999999999</v>
      </c>
      <c r="C818" s="32" t="s">
        <v>11233</v>
      </c>
      <c r="D818" s="31" t="s">
        <v>11216</v>
      </c>
      <c r="E818" s="40" t="s">
        <v>11234</v>
      </c>
      <c r="F818" s="38" t="s">
        <v>8980</v>
      </c>
      <c r="G818" s="34" t="s">
        <v>9414</v>
      </c>
      <c r="I818" s="35" t="s">
        <v>11232</v>
      </c>
      <c r="J818" s="36" t="s">
        <v>658</v>
      </c>
    </row>
    <row r="819" spans="1:10" x14ac:dyDescent="0.25">
      <c r="A819" s="31" t="s">
        <v>659</v>
      </c>
      <c r="B819" s="31">
        <v>19.040199999999999</v>
      </c>
      <c r="C819" s="32" t="s">
        <v>11235</v>
      </c>
      <c r="D819" s="31" t="s">
        <v>11216</v>
      </c>
      <c r="E819" s="40" t="s">
        <v>11236</v>
      </c>
      <c r="F819" s="38" t="s">
        <v>8980</v>
      </c>
      <c r="G819" s="34" t="s">
        <v>9414</v>
      </c>
      <c r="I819" s="35" t="s">
        <v>11232</v>
      </c>
      <c r="J819" s="36" t="s">
        <v>659</v>
      </c>
    </row>
    <row r="820" spans="1:10" x14ac:dyDescent="0.25">
      <c r="A820" s="31" t="s">
        <v>660</v>
      </c>
      <c r="B820" s="31">
        <v>19.040299999999998</v>
      </c>
      <c r="C820" s="32" t="s">
        <v>11237</v>
      </c>
      <c r="D820" s="31" t="s">
        <v>11216</v>
      </c>
      <c r="E820" s="40" t="s">
        <v>11238</v>
      </c>
      <c r="F820" s="38" t="s">
        <v>8980</v>
      </c>
      <c r="G820" s="34" t="s">
        <v>9414</v>
      </c>
      <c r="I820" s="35" t="s">
        <v>11232</v>
      </c>
      <c r="J820" s="36" t="s">
        <v>660</v>
      </c>
    </row>
    <row r="821" spans="1:10" x14ac:dyDescent="0.25">
      <c r="A821" s="31" t="s">
        <v>661</v>
      </c>
      <c r="B821" s="31">
        <v>19.049900000000001</v>
      </c>
      <c r="C821" s="32" t="s">
        <v>11239</v>
      </c>
      <c r="D821" s="31" t="s">
        <v>11216</v>
      </c>
      <c r="E821" s="40" t="s">
        <v>11240</v>
      </c>
      <c r="F821" s="38" t="s">
        <v>8980</v>
      </c>
      <c r="G821" s="34" t="s">
        <v>9414</v>
      </c>
      <c r="I821" s="35" t="s">
        <v>11232</v>
      </c>
      <c r="J821" s="36" t="s">
        <v>661</v>
      </c>
    </row>
    <row r="822" spans="1:10" x14ac:dyDescent="0.25">
      <c r="A822" s="31" t="s">
        <v>662</v>
      </c>
      <c r="B822" s="31">
        <v>19.05</v>
      </c>
      <c r="C822" s="32" t="s">
        <v>11241</v>
      </c>
      <c r="D822" s="31" t="s">
        <v>11216</v>
      </c>
      <c r="E822" s="40" t="s">
        <v>9415</v>
      </c>
      <c r="F822" s="38" t="s">
        <v>8980</v>
      </c>
      <c r="G822" s="34" t="s">
        <v>9415</v>
      </c>
      <c r="H822" s="34" t="s">
        <v>9415</v>
      </c>
      <c r="I822" s="44" t="s">
        <v>11241</v>
      </c>
      <c r="J822" s="36" t="s">
        <v>662</v>
      </c>
    </row>
    <row r="823" spans="1:10" x14ac:dyDescent="0.25">
      <c r="A823" s="31" t="s">
        <v>663</v>
      </c>
      <c r="B823" s="31">
        <v>19.0501</v>
      </c>
      <c r="C823" s="32" t="s">
        <v>11242</v>
      </c>
      <c r="D823" s="31" t="s">
        <v>11216</v>
      </c>
      <c r="E823" s="40" t="s">
        <v>11243</v>
      </c>
      <c r="F823" s="38" t="s">
        <v>8980</v>
      </c>
      <c r="G823" s="34" t="s">
        <v>9415</v>
      </c>
      <c r="I823" s="44" t="s">
        <v>11241</v>
      </c>
      <c r="J823" s="36" t="s">
        <v>663</v>
      </c>
    </row>
    <row r="824" spans="1:10" x14ac:dyDescent="0.25">
      <c r="A824" s="31" t="s">
        <v>664</v>
      </c>
      <c r="B824" s="31">
        <v>19.0504</v>
      </c>
      <c r="C824" s="32" t="s">
        <v>11244</v>
      </c>
      <c r="D824" s="31" t="s">
        <v>11216</v>
      </c>
      <c r="E824" s="40" t="s">
        <v>11245</v>
      </c>
      <c r="F824" s="38" t="s">
        <v>8980</v>
      </c>
      <c r="G824" s="34" t="s">
        <v>9415</v>
      </c>
      <c r="I824" s="44" t="s">
        <v>11241</v>
      </c>
      <c r="J824" s="36" t="s">
        <v>664</v>
      </c>
    </row>
    <row r="825" spans="1:10" x14ac:dyDescent="0.25">
      <c r="A825" s="31" t="s">
        <v>665</v>
      </c>
      <c r="B825" s="31">
        <v>19.0505</v>
      </c>
      <c r="C825" s="32" t="s">
        <v>11246</v>
      </c>
      <c r="D825" s="31" t="s">
        <v>11216</v>
      </c>
      <c r="E825" s="40" t="s">
        <v>11247</v>
      </c>
      <c r="F825" s="38" t="s">
        <v>8980</v>
      </c>
      <c r="G825" s="34" t="s">
        <v>9415</v>
      </c>
      <c r="I825" s="44" t="s">
        <v>11241</v>
      </c>
      <c r="J825" s="36" t="s">
        <v>665</v>
      </c>
    </row>
    <row r="826" spans="1:10" x14ac:dyDescent="0.25">
      <c r="A826" s="31" t="s">
        <v>666</v>
      </c>
      <c r="B826" s="31">
        <v>19.059899999999999</v>
      </c>
      <c r="C826" s="32" t="s">
        <v>11248</v>
      </c>
      <c r="D826" s="31" t="s">
        <v>11216</v>
      </c>
      <c r="E826" s="40" t="s">
        <v>11249</v>
      </c>
      <c r="F826" s="38" t="s">
        <v>8980</v>
      </c>
      <c r="G826" s="34" t="s">
        <v>9415</v>
      </c>
      <c r="I826" s="44" t="s">
        <v>11241</v>
      </c>
      <c r="J826" s="36" t="s">
        <v>666</v>
      </c>
    </row>
    <row r="827" spans="1:10" x14ac:dyDescent="0.25">
      <c r="A827" s="31" t="s">
        <v>667</v>
      </c>
      <c r="B827" s="31">
        <v>19.059999999999999</v>
      </c>
      <c r="C827" s="32" t="s">
        <v>11250</v>
      </c>
      <c r="D827" s="31" t="s">
        <v>11216</v>
      </c>
      <c r="E827" s="40" t="s">
        <v>9416</v>
      </c>
      <c r="F827" s="38" t="s">
        <v>8980</v>
      </c>
      <c r="G827" s="34" t="s">
        <v>9416</v>
      </c>
      <c r="H827" s="34" t="s">
        <v>9416</v>
      </c>
      <c r="I827" s="44" t="s">
        <v>11250</v>
      </c>
      <c r="J827" s="36" t="s">
        <v>667</v>
      </c>
    </row>
    <row r="828" spans="1:10" x14ac:dyDescent="0.25">
      <c r="A828" s="31" t="s">
        <v>668</v>
      </c>
      <c r="B828" s="31">
        <v>19.060099999999998</v>
      </c>
      <c r="C828" s="32" t="s">
        <v>11251</v>
      </c>
      <c r="D828" s="31" t="s">
        <v>11216</v>
      </c>
      <c r="E828" s="40" t="s">
        <v>11252</v>
      </c>
      <c r="F828" s="38" t="s">
        <v>8980</v>
      </c>
      <c r="G828" s="34" t="s">
        <v>9416</v>
      </c>
      <c r="I828" s="44" t="s">
        <v>11250</v>
      </c>
      <c r="J828" s="36" t="s">
        <v>668</v>
      </c>
    </row>
    <row r="829" spans="1:10" x14ac:dyDescent="0.25">
      <c r="A829" s="31" t="s">
        <v>669</v>
      </c>
      <c r="B829" s="31">
        <v>19.060400000000001</v>
      </c>
      <c r="C829" s="32" t="s">
        <v>11253</v>
      </c>
      <c r="D829" s="31" t="s">
        <v>11216</v>
      </c>
      <c r="E829" s="40" t="s">
        <v>11254</v>
      </c>
      <c r="F829" s="38" t="s">
        <v>8980</v>
      </c>
      <c r="G829" s="34" t="s">
        <v>9416</v>
      </c>
      <c r="I829" s="44" t="s">
        <v>11250</v>
      </c>
      <c r="J829" s="36" t="s">
        <v>669</v>
      </c>
    </row>
    <row r="830" spans="1:10" x14ac:dyDescent="0.25">
      <c r="A830" s="31" t="s">
        <v>670</v>
      </c>
      <c r="B830" s="31">
        <v>19.060500000000001</v>
      </c>
      <c r="C830" s="32" t="s">
        <v>11255</v>
      </c>
      <c r="D830" s="31" t="s">
        <v>11216</v>
      </c>
      <c r="E830" s="40" t="s">
        <v>11256</v>
      </c>
      <c r="F830" s="38" t="s">
        <v>8980</v>
      </c>
      <c r="G830" s="34" t="s">
        <v>9416</v>
      </c>
      <c r="I830" s="44" t="s">
        <v>11250</v>
      </c>
      <c r="J830" s="36" t="s">
        <v>670</v>
      </c>
    </row>
    <row r="831" spans="1:10" x14ac:dyDescent="0.25">
      <c r="A831" s="31" t="s">
        <v>671</v>
      </c>
      <c r="B831" s="31">
        <v>19.069900000000001</v>
      </c>
      <c r="C831" s="32" t="s">
        <v>11257</v>
      </c>
      <c r="D831" s="31" t="s">
        <v>11216</v>
      </c>
      <c r="E831" s="40" t="s">
        <v>11258</v>
      </c>
      <c r="F831" s="38" t="s">
        <v>8980</v>
      </c>
      <c r="G831" s="34" t="s">
        <v>9416</v>
      </c>
      <c r="I831" s="44" t="s">
        <v>11250</v>
      </c>
      <c r="J831" s="36" t="s">
        <v>671</v>
      </c>
    </row>
    <row r="832" spans="1:10" x14ac:dyDescent="0.25">
      <c r="A832" s="31" t="s">
        <v>672</v>
      </c>
      <c r="B832" s="31">
        <v>19.07</v>
      </c>
      <c r="C832" s="32" t="s">
        <v>11259</v>
      </c>
      <c r="D832" s="31" t="s">
        <v>11216</v>
      </c>
      <c r="E832" s="40" t="s">
        <v>9417</v>
      </c>
      <c r="F832" s="38" t="s">
        <v>8980</v>
      </c>
      <c r="G832" s="34" t="s">
        <v>9417</v>
      </c>
      <c r="H832" s="34" t="s">
        <v>9417</v>
      </c>
      <c r="I832" s="44" t="s">
        <v>11259</v>
      </c>
      <c r="J832" s="36" t="s">
        <v>672</v>
      </c>
    </row>
    <row r="833" spans="1:10" x14ac:dyDescent="0.25">
      <c r="A833" s="31" t="s">
        <v>673</v>
      </c>
      <c r="B833" s="31">
        <v>19.0701</v>
      </c>
      <c r="C833" s="32" t="s">
        <v>11260</v>
      </c>
      <c r="D833" s="31" t="s">
        <v>11216</v>
      </c>
      <c r="E833" s="40" t="s">
        <v>11261</v>
      </c>
      <c r="F833" s="38" t="s">
        <v>8980</v>
      </c>
      <c r="G833" s="34" t="s">
        <v>9417</v>
      </c>
      <c r="I833" s="44" t="s">
        <v>11259</v>
      </c>
      <c r="J833" s="36" t="s">
        <v>673</v>
      </c>
    </row>
    <row r="834" spans="1:10" x14ac:dyDescent="0.25">
      <c r="A834" s="31" t="s">
        <v>674</v>
      </c>
      <c r="B834" s="31">
        <v>19.0702</v>
      </c>
      <c r="C834" s="32" t="s">
        <v>11262</v>
      </c>
      <c r="D834" s="31" t="s">
        <v>11216</v>
      </c>
      <c r="E834" s="40" t="s">
        <v>11263</v>
      </c>
      <c r="F834" s="38" t="s">
        <v>8980</v>
      </c>
      <c r="G834" s="34" t="s">
        <v>9417</v>
      </c>
      <c r="I834" s="44" t="s">
        <v>11259</v>
      </c>
      <c r="J834" s="36" t="s">
        <v>674</v>
      </c>
    </row>
    <row r="835" spans="1:10" x14ac:dyDescent="0.25">
      <c r="A835" s="31" t="s">
        <v>675</v>
      </c>
      <c r="B835" s="31">
        <v>19.070399999999999</v>
      </c>
      <c r="C835" s="32" t="s">
        <v>11264</v>
      </c>
      <c r="D835" s="31" t="s">
        <v>11216</v>
      </c>
      <c r="E835" s="40" t="s">
        <v>11265</v>
      </c>
      <c r="F835" s="38" t="s">
        <v>8980</v>
      </c>
      <c r="G835" s="34" t="s">
        <v>9417</v>
      </c>
      <c r="I835" s="44" t="s">
        <v>11259</v>
      </c>
      <c r="J835" s="36" t="s">
        <v>675</v>
      </c>
    </row>
    <row r="836" spans="1:10" x14ac:dyDescent="0.25">
      <c r="A836" s="31" t="s">
        <v>676</v>
      </c>
      <c r="B836" s="31">
        <v>19.070599999999999</v>
      </c>
      <c r="C836" s="32" t="s">
        <v>11266</v>
      </c>
      <c r="D836" s="31" t="s">
        <v>11216</v>
      </c>
      <c r="E836" s="40" t="s">
        <v>11267</v>
      </c>
      <c r="F836" s="38" t="s">
        <v>8980</v>
      </c>
      <c r="G836" s="34" t="s">
        <v>9417</v>
      </c>
      <c r="I836" s="44" t="s">
        <v>11259</v>
      </c>
      <c r="J836" s="36" t="s">
        <v>676</v>
      </c>
    </row>
    <row r="837" spans="1:10" x14ac:dyDescent="0.25">
      <c r="A837" s="31" t="s">
        <v>677</v>
      </c>
      <c r="B837" s="31">
        <v>19.070699999999999</v>
      </c>
      <c r="C837" s="32" t="s">
        <v>11268</v>
      </c>
      <c r="D837" s="31" t="s">
        <v>11216</v>
      </c>
      <c r="E837" s="40" t="s">
        <v>11269</v>
      </c>
      <c r="F837" s="38" t="s">
        <v>8980</v>
      </c>
      <c r="G837" s="34" t="s">
        <v>9417</v>
      </c>
      <c r="I837" s="44" t="s">
        <v>11259</v>
      </c>
      <c r="J837" s="36" t="s">
        <v>677</v>
      </c>
    </row>
    <row r="838" spans="1:10" x14ac:dyDescent="0.25">
      <c r="A838" s="31" t="s">
        <v>678</v>
      </c>
      <c r="B838" s="31">
        <v>19.070799999999998</v>
      </c>
      <c r="C838" s="32" t="s">
        <v>11270</v>
      </c>
      <c r="D838" s="31" t="s">
        <v>11216</v>
      </c>
      <c r="E838" s="40" t="s">
        <v>11271</v>
      </c>
      <c r="F838" s="38" t="s">
        <v>8980</v>
      </c>
      <c r="G838" s="34" t="s">
        <v>9417</v>
      </c>
      <c r="I838" s="44" t="s">
        <v>11259</v>
      </c>
      <c r="J838" s="36" t="s">
        <v>678</v>
      </c>
    </row>
    <row r="839" spans="1:10" x14ac:dyDescent="0.25">
      <c r="A839" s="31" t="s">
        <v>679</v>
      </c>
      <c r="B839" s="31">
        <v>19.070900000000002</v>
      </c>
      <c r="C839" s="32" t="s">
        <v>11272</v>
      </c>
      <c r="D839" s="31" t="s">
        <v>11216</v>
      </c>
      <c r="E839" s="40" t="s">
        <v>11273</v>
      </c>
      <c r="F839" s="38" t="s">
        <v>8980</v>
      </c>
      <c r="G839" s="34" t="s">
        <v>9417</v>
      </c>
      <c r="I839" s="44" t="s">
        <v>11259</v>
      </c>
      <c r="J839" s="36" t="s">
        <v>679</v>
      </c>
    </row>
    <row r="840" spans="1:10" x14ac:dyDescent="0.25">
      <c r="A840" s="31" t="s">
        <v>680</v>
      </c>
      <c r="B840" s="31">
        <v>19.071000000000002</v>
      </c>
      <c r="C840" s="32" t="s">
        <v>11274</v>
      </c>
      <c r="D840" s="31" t="s">
        <v>11216</v>
      </c>
      <c r="E840" s="40" t="s">
        <v>11275</v>
      </c>
      <c r="F840" s="38" t="s">
        <v>8980</v>
      </c>
      <c r="G840" s="34" t="s">
        <v>9417</v>
      </c>
      <c r="I840" s="44" t="s">
        <v>11259</v>
      </c>
      <c r="J840" s="36" t="s">
        <v>680</v>
      </c>
    </row>
    <row r="841" spans="1:10" x14ac:dyDescent="0.25">
      <c r="A841" s="31" t="s">
        <v>1928</v>
      </c>
      <c r="B841" s="31">
        <v>19.071100000000001</v>
      </c>
      <c r="C841" s="32" t="s">
        <v>11276</v>
      </c>
      <c r="D841" s="31" t="s">
        <v>11216</v>
      </c>
      <c r="E841" s="40" t="s">
        <v>11277</v>
      </c>
      <c r="F841" s="38" t="s">
        <v>8980</v>
      </c>
      <c r="G841" s="34" t="s">
        <v>9417</v>
      </c>
      <c r="I841" s="44" t="s">
        <v>11259</v>
      </c>
      <c r="J841" s="36" t="s">
        <v>1928</v>
      </c>
    </row>
    <row r="842" spans="1:10" x14ac:dyDescent="0.25">
      <c r="A842" s="31" t="s">
        <v>1929</v>
      </c>
      <c r="B842" s="31">
        <v>19.071200000000001</v>
      </c>
      <c r="C842" s="32" t="s">
        <v>11278</v>
      </c>
      <c r="D842" s="31" t="s">
        <v>11216</v>
      </c>
      <c r="E842" s="40" t="s">
        <v>11279</v>
      </c>
      <c r="F842" s="38" t="s">
        <v>8980</v>
      </c>
      <c r="G842" s="34" t="s">
        <v>9417</v>
      </c>
      <c r="I842" s="44" t="s">
        <v>11259</v>
      </c>
      <c r="J842" s="36" t="s">
        <v>1929</v>
      </c>
    </row>
    <row r="843" spans="1:10" x14ac:dyDescent="0.25">
      <c r="A843" s="31" t="s">
        <v>681</v>
      </c>
      <c r="B843" s="31">
        <v>19.079899999999999</v>
      </c>
      <c r="C843" s="32" t="s">
        <v>11280</v>
      </c>
      <c r="D843" s="31" t="s">
        <v>11216</v>
      </c>
      <c r="E843" s="40" t="s">
        <v>11281</v>
      </c>
      <c r="F843" s="38" t="s">
        <v>8980</v>
      </c>
      <c r="G843" s="34" t="s">
        <v>9417</v>
      </c>
      <c r="I843" s="44" t="s">
        <v>11259</v>
      </c>
      <c r="J843" s="36" t="s">
        <v>681</v>
      </c>
    </row>
    <row r="844" spans="1:10" x14ac:dyDescent="0.25">
      <c r="A844" s="31" t="s">
        <v>682</v>
      </c>
      <c r="B844" s="31">
        <v>19.09</v>
      </c>
      <c r="C844" s="32" t="s">
        <v>11282</v>
      </c>
      <c r="D844" s="31" t="s">
        <v>11216</v>
      </c>
      <c r="E844" s="40" t="s">
        <v>9418</v>
      </c>
      <c r="F844" s="38" t="s">
        <v>8980</v>
      </c>
      <c r="G844" s="34" t="s">
        <v>9418</v>
      </c>
      <c r="H844" s="34" t="s">
        <v>9418</v>
      </c>
      <c r="I844" s="44" t="s">
        <v>11282</v>
      </c>
      <c r="J844" s="36" t="s">
        <v>682</v>
      </c>
    </row>
    <row r="845" spans="1:10" x14ac:dyDescent="0.25">
      <c r="A845" s="31" t="s">
        <v>683</v>
      </c>
      <c r="B845" s="31">
        <v>19.0901</v>
      </c>
      <c r="C845" s="32" t="s">
        <v>11283</v>
      </c>
      <c r="D845" s="31" t="s">
        <v>11216</v>
      </c>
      <c r="E845" s="40" t="s">
        <v>11284</v>
      </c>
      <c r="F845" s="38" t="s">
        <v>8980</v>
      </c>
      <c r="G845" s="34" t="s">
        <v>9418</v>
      </c>
      <c r="I845" s="44" t="s">
        <v>11282</v>
      </c>
      <c r="J845" s="36" t="s">
        <v>683</v>
      </c>
    </row>
    <row r="846" spans="1:10" x14ac:dyDescent="0.25">
      <c r="A846" s="31" t="s">
        <v>684</v>
      </c>
      <c r="B846" s="31">
        <v>19.090199999999999</v>
      </c>
      <c r="C846" s="32" t="s">
        <v>11285</v>
      </c>
      <c r="D846" s="31" t="s">
        <v>11216</v>
      </c>
      <c r="E846" s="40" t="s">
        <v>11286</v>
      </c>
      <c r="F846" s="38" t="s">
        <v>8980</v>
      </c>
      <c r="G846" s="34" t="s">
        <v>9418</v>
      </c>
      <c r="I846" s="44" t="s">
        <v>11282</v>
      </c>
      <c r="J846" s="36" t="s">
        <v>684</v>
      </c>
    </row>
    <row r="847" spans="1:10" x14ac:dyDescent="0.25">
      <c r="A847" s="31" t="s">
        <v>685</v>
      </c>
      <c r="B847" s="31">
        <v>19.090399999999999</v>
      </c>
      <c r="C847" s="32" t="s">
        <v>11287</v>
      </c>
      <c r="D847" s="31" t="s">
        <v>11216</v>
      </c>
      <c r="E847" s="40" t="s">
        <v>11288</v>
      </c>
      <c r="F847" s="38" t="s">
        <v>8980</v>
      </c>
      <c r="G847" s="34" t="s">
        <v>9418</v>
      </c>
      <c r="I847" s="44" t="s">
        <v>11282</v>
      </c>
      <c r="J847" s="36" t="s">
        <v>685</v>
      </c>
    </row>
    <row r="848" spans="1:10" x14ac:dyDescent="0.25">
      <c r="A848" s="31" t="s">
        <v>686</v>
      </c>
      <c r="B848" s="31">
        <v>19.090499999999999</v>
      </c>
      <c r="C848" s="32" t="s">
        <v>11289</v>
      </c>
      <c r="D848" s="31" t="s">
        <v>11216</v>
      </c>
      <c r="E848" s="40" t="s">
        <v>11290</v>
      </c>
      <c r="F848" s="38" t="s">
        <v>8980</v>
      </c>
      <c r="G848" s="34" t="s">
        <v>9418</v>
      </c>
      <c r="I848" s="44" t="s">
        <v>11282</v>
      </c>
      <c r="J848" s="36" t="s">
        <v>686</v>
      </c>
    </row>
    <row r="849" spans="1:10" x14ac:dyDescent="0.25">
      <c r="A849" s="31" t="s">
        <v>687</v>
      </c>
      <c r="B849" s="31">
        <v>19.090599999999998</v>
      </c>
      <c r="C849" s="32" t="s">
        <v>11291</v>
      </c>
      <c r="D849" s="31" t="s">
        <v>11216</v>
      </c>
      <c r="E849" s="40" t="s">
        <v>11292</v>
      </c>
      <c r="F849" s="38" t="s">
        <v>8980</v>
      </c>
      <c r="G849" s="34" t="s">
        <v>9418</v>
      </c>
      <c r="I849" s="44" t="s">
        <v>11282</v>
      </c>
      <c r="J849" s="36" t="s">
        <v>687</v>
      </c>
    </row>
    <row r="850" spans="1:10" x14ac:dyDescent="0.25">
      <c r="A850" s="31" t="s">
        <v>688</v>
      </c>
      <c r="B850" s="31">
        <v>19.099900000000002</v>
      </c>
      <c r="C850" s="32" t="s">
        <v>11293</v>
      </c>
      <c r="D850" s="31" t="s">
        <v>11216</v>
      </c>
      <c r="E850" s="40" t="s">
        <v>11294</v>
      </c>
      <c r="F850" s="38" t="s">
        <v>8980</v>
      </c>
      <c r="G850" s="34" t="s">
        <v>9418</v>
      </c>
      <c r="I850" s="44" t="s">
        <v>11282</v>
      </c>
      <c r="J850" s="36" t="s">
        <v>688</v>
      </c>
    </row>
    <row r="851" spans="1:10" x14ac:dyDescent="0.25">
      <c r="A851" s="31" t="s">
        <v>650</v>
      </c>
      <c r="B851" s="31">
        <v>19.100000000000001</v>
      </c>
      <c r="C851" s="32" t="s">
        <v>11295</v>
      </c>
      <c r="D851" s="31" t="s">
        <v>11216</v>
      </c>
      <c r="E851" s="40" t="s">
        <v>9419</v>
      </c>
      <c r="F851" s="38" t="s">
        <v>8980</v>
      </c>
      <c r="G851" s="34" t="s">
        <v>9419</v>
      </c>
      <c r="H851" s="34" t="s">
        <v>9419</v>
      </c>
      <c r="I851" s="35" t="s">
        <v>11295</v>
      </c>
      <c r="J851" s="36" t="s">
        <v>650</v>
      </c>
    </row>
    <row r="852" spans="1:10" x14ac:dyDescent="0.25">
      <c r="A852" s="31" t="s">
        <v>650</v>
      </c>
      <c r="B852" s="31">
        <v>19.100100000000001</v>
      </c>
      <c r="C852" s="32" t="s">
        <v>11296</v>
      </c>
      <c r="D852" s="31" t="s">
        <v>11216</v>
      </c>
      <c r="E852" s="40" t="s">
        <v>11297</v>
      </c>
      <c r="F852" s="38" t="s">
        <v>8980</v>
      </c>
      <c r="G852" s="34" t="s">
        <v>9419</v>
      </c>
      <c r="I852" s="35" t="s">
        <v>11295</v>
      </c>
      <c r="J852" s="36" t="s">
        <v>650</v>
      </c>
    </row>
    <row r="853" spans="1:10" x14ac:dyDescent="0.25">
      <c r="A853" s="31" t="s">
        <v>689</v>
      </c>
      <c r="B853" s="31">
        <v>19.989999999999998</v>
      </c>
      <c r="C853" s="32" t="s">
        <v>11298</v>
      </c>
      <c r="D853" s="31" t="s">
        <v>11216</v>
      </c>
      <c r="E853" s="40" t="s">
        <v>9420</v>
      </c>
      <c r="F853" s="38" t="s">
        <v>8980</v>
      </c>
      <c r="G853" s="34" t="s">
        <v>9420</v>
      </c>
      <c r="H853" s="34" t="s">
        <v>9420</v>
      </c>
      <c r="I853" s="35" t="s">
        <v>11298</v>
      </c>
      <c r="J853" s="36" t="s">
        <v>689</v>
      </c>
    </row>
    <row r="854" spans="1:10" x14ac:dyDescent="0.25">
      <c r="A854" s="31" t="s">
        <v>689</v>
      </c>
      <c r="B854" s="31">
        <v>19.9999</v>
      </c>
      <c r="C854" s="32" t="s">
        <v>11299</v>
      </c>
      <c r="D854" s="31" t="s">
        <v>11216</v>
      </c>
      <c r="E854" s="40" t="s">
        <v>11300</v>
      </c>
      <c r="F854" s="38" t="s">
        <v>8980</v>
      </c>
      <c r="G854" s="34" t="s">
        <v>9420</v>
      </c>
      <c r="I854" s="35" t="s">
        <v>11298</v>
      </c>
      <c r="J854" s="36" t="s">
        <v>689</v>
      </c>
    </row>
    <row r="855" spans="1:10" x14ac:dyDescent="0.25">
      <c r="A855" s="31" t="s">
        <v>1930</v>
      </c>
      <c r="B855" s="31">
        <v>21</v>
      </c>
      <c r="C855" s="32" t="s">
        <v>11301</v>
      </c>
      <c r="D855" s="31" t="s">
        <v>11301</v>
      </c>
      <c r="E855" s="40" t="s">
        <v>9422</v>
      </c>
      <c r="F855" s="34" t="s">
        <v>9421</v>
      </c>
      <c r="G855" s="34" t="s">
        <v>9422</v>
      </c>
      <c r="H855" s="34" t="s">
        <v>9422</v>
      </c>
      <c r="I855" s="35" t="s">
        <v>11301</v>
      </c>
      <c r="J855" s="36" t="s">
        <v>1930</v>
      </c>
    </row>
    <row r="856" spans="1:10" x14ac:dyDescent="0.25">
      <c r="A856" s="31" t="s">
        <v>1793</v>
      </c>
      <c r="B856" s="31">
        <v>21.01</v>
      </c>
      <c r="C856" s="32" t="s">
        <v>11302</v>
      </c>
      <c r="D856" s="31" t="s">
        <v>11301</v>
      </c>
      <c r="E856" s="40" t="s">
        <v>11303</v>
      </c>
      <c r="F856" s="34" t="s">
        <v>9421</v>
      </c>
      <c r="G856" s="34" t="s">
        <v>9422</v>
      </c>
      <c r="I856" s="35" t="s">
        <v>11301</v>
      </c>
      <c r="J856" s="36" t="s">
        <v>1793</v>
      </c>
    </row>
    <row r="857" spans="1:10" x14ac:dyDescent="0.25">
      <c r="A857" s="31" t="s">
        <v>1793</v>
      </c>
      <c r="B857" s="31">
        <v>21.010100000000001</v>
      </c>
      <c r="C857" s="32" t="s">
        <v>11304</v>
      </c>
      <c r="D857" s="31" t="s">
        <v>11301</v>
      </c>
      <c r="E857" s="40" t="s">
        <v>11305</v>
      </c>
      <c r="F857" s="34" t="s">
        <v>9421</v>
      </c>
      <c r="G857" s="34" t="s">
        <v>9422</v>
      </c>
      <c r="I857" s="35" t="s">
        <v>11301</v>
      </c>
      <c r="J857" s="36" t="s">
        <v>1793</v>
      </c>
    </row>
    <row r="858" spans="1:10" x14ac:dyDescent="0.25">
      <c r="A858" s="31" t="s">
        <v>690</v>
      </c>
      <c r="B858" s="31">
        <v>22</v>
      </c>
      <c r="C858" s="32" t="s">
        <v>11306</v>
      </c>
      <c r="D858" s="31" t="s">
        <v>11306</v>
      </c>
      <c r="E858" s="40" t="s">
        <v>9423</v>
      </c>
      <c r="F858" s="38" t="s">
        <v>8990</v>
      </c>
      <c r="G858" s="34" t="s">
        <v>9423</v>
      </c>
      <c r="H858" s="34" t="s">
        <v>9423</v>
      </c>
      <c r="I858" s="45" t="s">
        <v>11306</v>
      </c>
      <c r="J858" s="36" t="s">
        <v>690</v>
      </c>
    </row>
    <row r="859" spans="1:10" x14ac:dyDescent="0.25">
      <c r="A859" s="31" t="s">
        <v>1932</v>
      </c>
      <c r="B859" s="31">
        <v>22</v>
      </c>
      <c r="C859" s="32" t="s">
        <v>11307</v>
      </c>
      <c r="D859" s="31" t="s">
        <v>11306</v>
      </c>
      <c r="E859" s="40" t="s">
        <v>11308</v>
      </c>
      <c r="F859" s="38" t="s">
        <v>8990</v>
      </c>
      <c r="G859" s="34" t="s">
        <v>9424</v>
      </c>
      <c r="I859" s="44" t="s">
        <v>11309</v>
      </c>
      <c r="J859" s="36" t="s">
        <v>1932</v>
      </c>
    </row>
    <row r="860" spans="1:10" x14ac:dyDescent="0.25">
      <c r="A860" s="31" t="s">
        <v>1931</v>
      </c>
      <c r="B860" s="31">
        <v>22</v>
      </c>
      <c r="C860" s="32" t="s">
        <v>11309</v>
      </c>
      <c r="D860" s="31" t="s">
        <v>11306</v>
      </c>
      <c r="E860" s="40" t="s">
        <v>9424</v>
      </c>
      <c r="F860" s="38" t="s">
        <v>8990</v>
      </c>
      <c r="G860" s="34" t="s">
        <v>9424</v>
      </c>
      <c r="H860" s="34" t="s">
        <v>9424</v>
      </c>
      <c r="I860" s="44" t="s">
        <v>11309</v>
      </c>
      <c r="J860" s="36" t="s">
        <v>1931</v>
      </c>
    </row>
    <row r="861" spans="1:10" x14ac:dyDescent="0.25">
      <c r="A861" s="31" t="s">
        <v>691</v>
      </c>
      <c r="B861" s="31">
        <v>22.0001</v>
      </c>
      <c r="C861" s="32" t="s">
        <v>11310</v>
      </c>
      <c r="D861" s="31" t="s">
        <v>11306</v>
      </c>
      <c r="E861" s="40" t="s">
        <v>11311</v>
      </c>
      <c r="F861" s="38" t="s">
        <v>8990</v>
      </c>
      <c r="G861" s="34" t="s">
        <v>9424</v>
      </c>
      <c r="I861" s="44" t="s">
        <v>11309</v>
      </c>
      <c r="J861" s="36" t="s">
        <v>691</v>
      </c>
    </row>
    <row r="862" spans="1:10" x14ac:dyDescent="0.25">
      <c r="A862" s="31" t="s">
        <v>1933</v>
      </c>
      <c r="B862" s="31">
        <v>22.009899999999998</v>
      </c>
      <c r="C862" s="32" t="s">
        <v>11312</v>
      </c>
      <c r="D862" s="31" t="s">
        <v>11306</v>
      </c>
      <c r="E862" s="40" t="s">
        <v>11313</v>
      </c>
      <c r="F862" s="38" t="s">
        <v>8990</v>
      </c>
      <c r="G862" s="34" t="s">
        <v>9424</v>
      </c>
      <c r="I862" s="44" t="s">
        <v>11309</v>
      </c>
      <c r="J862" s="36" t="s">
        <v>1933</v>
      </c>
    </row>
    <row r="863" spans="1:10" x14ac:dyDescent="0.25">
      <c r="A863" s="31" t="s">
        <v>692</v>
      </c>
      <c r="B863" s="31">
        <v>22.01</v>
      </c>
      <c r="C863" s="32" t="s">
        <v>11314</v>
      </c>
      <c r="D863" s="31" t="s">
        <v>11306</v>
      </c>
      <c r="E863" s="40" t="s">
        <v>9425</v>
      </c>
      <c r="F863" s="38" t="s">
        <v>8990</v>
      </c>
      <c r="G863" s="34" t="s">
        <v>9425</v>
      </c>
      <c r="H863" s="34" t="s">
        <v>9425</v>
      </c>
      <c r="I863" s="44" t="s">
        <v>11314</v>
      </c>
      <c r="J863" s="36" t="s">
        <v>692</v>
      </c>
    </row>
    <row r="864" spans="1:10" x14ac:dyDescent="0.25">
      <c r="A864" s="31" t="s">
        <v>692</v>
      </c>
      <c r="B864" s="31">
        <v>22.010100000000001</v>
      </c>
      <c r="C864" s="32" t="s">
        <v>11315</v>
      </c>
      <c r="D864" s="31" t="s">
        <v>11306</v>
      </c>
      <c r="E864" s="40" t="s">
        <v>11316</v>
      </c>
      <c r="F864" s="38" t="s">
        <v>8990</v>
      </c>
      <c r="G864" s="34" t="s">
        <v>9425</v>
      </c>
      <c r="I864" s="44" t="s">
        <v>11314</v>
      </c>
      <c r="J864" s="36" t="s">
        <v>692</v>
      </c>
    </row>
    <row r="865" spans="1:10" x14ac:dyDescent="0.25">
      <c r="A865" s="31" t="s">
        <v>693</v>
      </c>
      <c r="B865" s="31">
        <v>22.02</v>
      </c>
      <c r="C865" s="32" t="s">
        <v>11317</v>
      </c>
      <c r="D865" s="31" t="s">
        <v>11306</v>
      </c>
      <c r="E865" s="40" t="s">
        <v>9426</v>
      </c>
      <c r="F865" s="38" t="s">
        <v>8990</v>
      </c>
      <c r="G865" s="34" t="s">
        <v>9426</v>
      </c>
      <c r="H865" s="34" t="s">
        <v>9426</v>
      </c>
      <c r="I865" s="44" t="s">
        <v>11317</v>
      </c>
      <c r="J865" s="36" t="s">
        <v>693</v>
      </c>
    </row>
    <row r="866" spans="1:10" x14ac:dyDescent="0.25">
      <c r="A866" s="31" t="s">
        <v>694</v>
      </c>
      <c r="B866" s="31">
        <v>22.020099999999999</v>
      </c>
      <c r="C866" s="32" t="s">
        <v>11318</v>
      </c>
      <c r="D866" s="31" t="s">
        <v>11306</v>
      </c>
      <c r="E866" s="40" t="s">
        <v>11319</v>
      </c>
      <c r="F866" s="38" t="s">
        <v>8990</v>
      </c>
      <c r="G866" s="34" t="s">
        <v>9426</v>
      </c>
      <c r="I866" s="44" t="s">
        <v>11317</v>
      </c>
      <c r="J866" s="36" t="s">
        <v>694</v>
      </c>
    </row>
    <row r="867" spans="1:10" x14ac:dyDescent="0.25">
      <c r="A867" s="31" t="s">
        <v>695</v>
      </c>
      <c r="B867" s="31">
        <v>22.020199999999999</v>
      </c>
      <c r="C867" s="32" t="s">
        <v>11320</v>
      </c>
      <c r="D867" s="31" t="s">
        <v>11306</v>
      </c>
      <c r="E867" s="40" t="s">
        <v>11321</v>
      </c>
      <c r="F867" s="38" t="s">
        <v>8990</v>
      </c>
      <c r="G867" s="34" t="s">
        <v>9426</v>
      </c>
      <c r="I867" s="44" t="s">
        <v>11317</v>
      </c>
      <c r="J867" s="36" t="s">
        <v>695</v>
      </c>
    </row>
    <row r="868" spans="1:10" x14ac:dyDescent="0.25">
      <c r="A868" s="31" t="s">
        <v>696</v>
      </c>
      <c r="B868" s="31">
        <v>22.020299999999999</v>
      </c>
      <c r="C868" s="32" t="s">
        <v>11322</v>
      </c>
      <c r="D868" s="31" t="s">
        <v>11306</v>
      </c>
      <c r="E868" s="40" t="s">
        <v>11323</v>
      </c>
      <c r="F868" s="38" t="s">
        <v>8990</v>
      </c>
      <c r="G868" s="34" t="s">
        <v>9426</v>
      </c>
      <c r="I868" s="44" t="s">
        <v>11317</v>
      </c>
      <c r="J868" s="36" t="s">
        <v>696</v>
      </c>
    </row>
    <row r="869" spans="1:10" x14ac:dyDescent="0.25">
      <c r="A869" s="31" t="s">
        <v>697</v>
      </c>
      <c r="B869" s="31">
        <v>22.020399999999999</v>
      </c>
      <c r="C869" s="32" t="s">
        <v>11324</v>
      </c>
      <c r="D869" s="31" t="s">
        <v>11306</v>
      </c>
      <c r="E869" s="40" t="s">
        <v>11325</v>
      </c>
      <c r="F869" s="38" t="s">
        <v>8990</v>
      </c>
      <c r="G869" s="34" t="s">
        <v>9426</v>
      </c>
      <c r="I869" s="44" t="s">
        <v>11317</v>
      </c>
      <c r="J869" s="36" t="s">
        <v>697</v>
      </c>
    </row>
    <row r="870" spans="1:10" x14ac:dyDescent="0.25">
      <c r="A870" s="31" t="s">
        <v>698</v>
      </c>
      <c r="B870" s="31">
        <v>22.020499999999998</v>
      </c>
      <c r="C870" s="32" t="s">
        <v>11326</v>
      </c>
      <c r="D870" s="31" t="s">
        <v>11306</v>
      </c>
      <c r="E870" s="40" t="s">
        <v>11327</v>
      </c>
      <c r="F870" s="38" t="s">
        <v>8990</v>
      </c>
      <c r="G870" s="34" t="s">
        <v>9426</v>
      </c>
      <c r="I870" s="44" t="s">
        <v>11317</v>
      </c>
      <c r="J870" s="36" t="s">
        <v>698</v>
      </c>
    </row>
    <row r="871" spans="1:10" x14ac:dyDescent="0.25">
      <c r="A871" s="31" t="s">
        <v>699</v>
      </c>
      <c r="B871" s="31">
        <v>22.020600000000002</v>
      </c>
      <c r="C871" s="32" t="s">
        <v>11328</v>
      </c>
      <c r="D871" s="31" t="s">
        <v>11306</v>
      </c>
      <c r="E871" s="40" t="s">
        <v>11329</v>
      </c>
      <c r="F871" s="38" t="s">
        <v>8990</v>
      </c>
      <c r="G871" s="34" t="s">
        <v>9426</v>
      </c>
      <c r="I871" s="44" t="s">
        <v>11317</v>
      </c>
      <c r="J871" s="36" t="s">
        <v>699</v>
      </c>
    </row>
    <row r="872" spans="1:10" x14ac:dyDescent="0.25">
      <c r="A872" s="31" t="s">
        <v>700</v>
      </c>
      <c r="B872" s="31">
        <v>22.020700000000001</v>
      </c>
      <c r="C872" s="32" t="s">
        <v>11330</v>
      </c>
      <c r="D872" s="31" t="s">
        <v>11306</v>
      </c>
      <c r="E872" s="40" t="s">
        <v>11331</v>
      </c>
      <c r="F872" s="38" t="s">
        <v>8990</v>
      </c>
      <c r="G872" s="34" t="s">
        <v>9426</v>
      </c>
      <c r="I872" s="44" t="s">
        <v>11317</v>
      </c>
      <c r="J872" s="36" t="s">
        <v>700</v>
      </c>
    </row>
    <row r="873" spans="1:10" x14ac:dyDescent="0.25">
      <c r="A873" s="31" t="s">
        <v>701</v>
      </c>
      <c r="B873" s="31">
        <v>22.020800000000001</v>
      </c>
      <c r="C873" s="32" t="s">
        <v>11332</v>
      </c>
      <c r="D873" s="31" t="s">
        <v>11306</v>
      </c>
      <c r="E873" s="40" t="s">
        <v>11333</v>
      </c>
      <c r="F873" s="38" t="s">
        <v>8990</v>
      </c>
      <c r="G873" s="34" t="s">
        <v>9426</v>
      </c>
      <c r="I873" s="44" t="s">
        <v>11317</v>
      </c>
      <c r="J873" s="36" t="s">
        <v>701</v>
      </c>
    </row>
    <row r="874" spans="1:10" x14ac:dyDescent="0.25">
      <c r="A874" s="31" t="s">
        <v>702</v>
      </c>
      <c r="B874" s="31">
        <v>22.020900000000001</v>
      </c>
      <c r="C874" s="32" t="s">
        <v>11334</v>
      </c>
      <c r="D874" s="31" t="s">
        <v>11306</v>
      </c>
      <c r="E874" s="40" t="s">
        <v>11335</v>
      </c>
      <c r="F874" s="38" t="s">
        <v>8990</v>
      </c>
      <c r="G874" s="34" t="s">
        <v>9426</v>
      </c>
      <c r="I874" s="44" t="s">
        <v>11317</v>
      </c>
      <c r="J874" s="36" t="s">
        <v>702</v>
      </c>
    </row>
    <row r="875" spans="1:10" x14ac:dyDescent="0.25">
      <c r="A875" s="31" t="s">
        <v>703</v>
      </c>
      <c r="B875" s="31">
        <v>22.021000000000001</v>
      </c>
      <c r="C875" s="32" t="s">
        <v>11336</v>
      </c>
      <c r="D875" s="31" t="s">
        <v>11306</v>
      </c>
      <c r="E875" s="40" t="s">
        <v>11337</v>
      </c>
      <c r="F875" s="38" t="s">
        <v>8990</v>
      </c>
      <c r="G875" s="34" t="s">
        <v>9426</v>
      </c>
      <c r="I875" s="44" t="s">
        <v>11317</v>
      </c>
      <c r="J875" s="36" t="s">
        <v>703</v>
      </c>
    </row>
    <row r="876" spans="1:10" x14ac:dyDescent="0.25">
      <c r="A876" s="31" t="s">
        <v>704</v>
      </c>
      <c r="B876" s="31">
        <v>22.021100000000001</v>
      </c>
      <c r="C876" s="32" t="s">
        <v>11338</v>
      </c>
      <c r="D876" s="31" t="s">
        <v>11306</v>
      </c>
      <c r="E876" s="40" t="s">
        <v>11339</v>
      </c>
      <c r="F876" s="38" t="s">
        <v>8990</v>
      </c>
      <c r="G876" s="34" t="s">
        <v>9426</v>
      </c>
      <c r="I876" s="44" t="s">
        <v>11317</v>
      </c>
      <c r="J876" s="36" t="s">
        <v>704</v>
      </c>
    </row>
    <row r="877" spans="1:10" x14ac:dyDescent="0.25">
      <c r="A877" s="31" t="s">
        <v>705</v>
      </c>
      <c r="B877" s="31">
        <v>22.0212</v>
      </c>
      <c r="C877" s="32" t="s">
        <v>11340</v>
      </c>
      <c r="D877" s="31" t="s">
        <v>11306</v>
      </c>
      <c r="E877" s="40" t="s">
        <v>11341</v>
      </c>
      <c r="F877" s="38" t="s">
        <v>8990</v>
      </c>
      <c r="G877" s="34" t="s">
        <v>9426</v>
      </c>
      <c r="I877" s="44" t="s">
        <v>11317</v>
      </c>
      <c r="J877" s="36" t="s">
        <v>705</v>
      </c>
    </row>
    <row r="878" spans="1:10" x14ac:dyDescent="0.25">
      <c r="A878" s="31" t="s">
        <v>1934</v>
      </c>
      <c r="B878" s="31">
        <v>22.0213</v>
      </c>
      <c r="C878" s="32" t="s">
        <v>11342</v>
      </c>
      <c r="D878" s="31" t="s">
        <v>11306</v>
      </c>
      <c r="E878" s="40" t="s">
        <v>11343</v>
      </c>
      <c r="F878" s="38" t="s">
        <v>8990</v>
      </c>
      <c r="G878" s="34" t="s">
        <v>9426</v>
      </c>
      <c r="I878" s="44" t="s">
        <v>11317</v>
      </c>
      <c r="J878" s="36" t="s">
        <v>1934</v>
      </c>
    </row>
    <row r="879" spans="1:10" x14ac:dyDescent="0.25">
      <c r="A879" s="31" t="s">
        <v>1935</v>
      </c>
      <c r="B879" s="31">
        <v>22.0214</v>
      </c>
      <c r="C879" s="32" t="s">
        <v>11344</v>
      </c>
      <c r="D879" s="31" t="s">
        <v>11306</v>
      </c>
      <c r="E879" s="40" t="s">
        <v>11345</v>
      </c>
      <c r="F879" s="38" t="s">
        <v>8990</v>
      </c>
      <c r="G879" s="34" t="s">
        <v>9426</v>
      </c>
      <c r="I879" s="44" t="s">
        <v>11317</v>
      </c>
      <c r="J879" s="36" t="s">
        <v>1935</v>
      </c>
    </row>
    <row r="880" spans="1:10" x14ac:dyDescent="0.25">
      <c r="A880" s="31" t="s">
        <v>1936</v>
      </c>
      <c r="B880" s="31">
        <v>22.0215</v>
      </c>
      <c r="C880" s="32" t="s">
        <v>11346</v>
      </c>
      <c r="D880" s="31" t="s">
        <v>11306</v>
      </c>
      <c r="E880" s="40" t="s">
        <v>11347</v>
      </c>
      <c r="F880" s="38" t="s">
        <v>8990</v>
      </c>
      <c r="G880" s="34" t="s">
        <v>9426</v>
      </c>
      <c r="I880" s="44" t="s">
        <v>11317</v>
      </c>
      <c r="J880" s="36" t="s">
        <v>1936</v>
      </c>
    </row>
    <row r="881" spans="1:10" x14ac:dyDescent="0.25">
      <c r="A881" s="31" t="s">
        <v>1937</v>
      </c>
      <c r="B881" s="31">
        <v>22.021599999999999</v>
      </c>
      <c r="C881" s="32" t="s">
        <v>11348</v>
      </c>
      <c r="D881" s="31" t="s">
        <v>11306</v>
      </c>
      <c r="E881" s="40" t="s">
        <v>11349</v>
      </c>
      <c r="F881" s="38" t="s">
        <v>8990</v>
      </c>
      <c r="G881" s="34" t="s">
        <v>9426</v>
      </c>
      <c r="I881" s="44" t="s">
        <v>11317</v>
      </c>
      <c r="J881" s="36" t="s">
        <v>1937</v>
      </c>
    </row>
    <row r="882" spans="1:10" x14ac:dyDescent="0.25">
      <c r="A882" s="31" t="s">
        <v>1938</v>
      </c>
      <c r="B882" s="31">
        <v>22.021699999999999</v>
      </c>
      <c r="C882" s="32" t="s">
        <v>11350</v>
      </c>
      <c r="D882" s="31" t="s">
        <v>11306</v>
      </c>
      <c r="E882" s="40" t="s">
        <v>11351</v>
      </c>
      <c r="F882" s="38" t="s">
        <v>8990</v>
      </c>
      <c r="G882" s="34" t="s">
        <v>9426</v>
      </c>
      <c r="I882" s="44" t="s">
        <v>11317</v>
      </c>
      <c r="J882" s="36" t="s">
        <v>1938</v>
      </c>
    </row>
    <row r="883" spans="1:10" x14ac:dyDescent="0.25">
      <c r="A883" s="31" t="s">
        <v>1939</v>
      </c>
      <c r="B883" s="31">
        <v>22.021799999999999</v>
      </c>
      <c r="C883" s="32" t="s">
        <v>11352</v>
      </c>
      <c r="D883" s="31" t="s">
        <v>11306</v>
      </c>
      <c r="E883" s="40" t="s">
        <v>11353</v>
      </c>
      <c r="F883" s="38" t="s">
        <v>8990</v>
      </c>
      <c r="G883" s="34" t="s">
        <v>9426</v>
      </c>
      <c r="I883" s="44" t="s">
        <v>11317</v>
      </c>
      <c r="J883" s="36" t="s">
        <v>1939</v>
      </c>
    </row>
    <row r="884" spans="1:10" x14ac:dyDescent="0.25">
      <c r="A884" s="31" t="s">
        <v>1940</v>
      </c>
      <c r="B884" s="31">
        <v>22.021899999999999</v>
      </c>
      <c r="C884" s="32" t="s">
        <v>11354</v>
      </c>
      <c r="D884" s="31" t="s">
        <v>11306</v>
      </c>
      <c r="E884" s="40" t="s">
        <v>11355</v>
      </c>
      <c r="F884" s="38" t="s">
        <v>8990</v>
      </c>
      <c r="G884" s="34" t="s">
        <v>9426</v>
      </c>
      <c r="I884" s="44" t="s">
        <v>11317</v>
      </c>
      <c r="J884" s="36" t="s">
        <v>1940</v>
      </c>
    </row>
    <row r="885" spans="1:10" x14ac:dyDescent="0.25">
      <c r="A885" s="31" t="s">
        <v>1941</v>
      </c>
      <c r="B885" s="31">
        <v>22.021999999999998</v>
      </c>
      <c r="C885" s="32" t="s">
        <v>11356</v>
      </c>
      <c r="D885" s="31" t="s">
        <v>11306</v>
      </c>
      <c r="E885" s="40" t="s">
        <v>11357</v>
      </c>
      <c r="F885" s="38" t="s">
        <v>8990</v>
      </c>
      <c r="G885" s="34" t="s">
        <v>9426</v>
      </c>
      <c r="I885" s="44" t="s">
        <v>11317</v>
      </c>
      <c r="J885" s="36" t="s">
        <v>1941</v>
      </c>
    </row>
    <row r="886" spans="1:10" x14ac:dyDescent="0.25">
      <c r="A886" s="31" t="s">
        <v>1942</v>
      </c>
      <c r="B886" s="31">
        <v>22.022099999999998</v>
      </c>
      <c r="C886" s="32" t="s">
        <v>11358</v>
      </c>
      <c r="D886" s="31" t="s">
        <v>11306</v>
      </c>
      <c r="E886" s="40" t="s">
        <v>11359</v>
      </c>
      <c r="F886" s="38" t="s">
        <v>8990</v>
      </c>
      <c r="G886" s="34" t="s">
        <v>9426</v>
      </c>
      <c r="I886" s="44" t="s">
        <v>11317</v>
      </c>
      <c r="J886" s="36" t="s">
        <v>1942</v>
      </c>
    </row>
    <row r="887" spans="1:10" x14ac:dyDescent="0.25">
      <c r="A887" s="31" t="s">
        <v>1943</v>
      </c>
      <c r="B887" s="31">
        <v>22.022200000000002</v>
      </c>
      <c r="C887" s="32" t="s">
        <v>11360</v>
      </c>
      <c r="D887" s="31" t="s">
        <v>11306</v>
      </c>
      <c r="E887" s="40" t="s">
        <v>11361</v>
      </c>
      <c r="F887" s="38" t="s">
        <v>8990</v>
      </c>
      <c r="G887" s="34" t="s">
        <v>9426</v>
      </c>
      <c r="I887" s="44" t="s">
        <v>11317</v>
      </c>
      <c r="J887" s="36" t="s">
        <v>1943</v>
      </c>
    </row>
    <row r="888" spans="1:10" x14ac:dyDescent="0.25">
      <c r="A888" s="31" t="s">
        <v>1944</v>
      </c>
      <c r="B888" s="31">
        <v>22.022300000000001</v>
      </c>
      <c r="C888" s="32" t="s">
        <v>11362</v>
      </c>
      <c r="D888" s="31" t="s">
        <v>11306</v>
      </c>
      <c r="E888" s="40" t="s">
        <v>11363</v>
      </c>
      <c r="F888" s="38" t="s">
        <v>8990</v>
      </c>
      <c r="G888" s="34" t="s">
        <v>9426</v>
      </c>
      <c r="I888" s="44" t="s">
        <v>11317</v>
      </c>
      <c r="J888" s="36" t="s">
        <v>1944</v>
      </c>
    </row>
    <row r="889" spans="1:10" x14ac:dyDescent="0.25">
      <c r="A889" s="31" t="s">
        <v>1945</v>
      </c>
      <c r="B889" s="31">
        <v>22.022400000000001</v>
      </c>
      <c r="C889" s="32" t="s">
        <v>11364</v>
      </c>
      <c r="D889" s="31" t="s">
        <v>11306</v>
      </c>
      <c r="E889" s="40" t="s">
        <v>11365</v>
      </c>
      <c r="F889" s="38" t="s">
        <v>8990</v>
      </c>
      <c r="G889" s="34" t="s">
        <v>9426</v>
      </c>
      <c r="I889" s="44" t="s">
        <v>11317</v>
      </c>
      <c r="J889" s="36" t="s">
        <v>1945</v>
      </c>
    </row>
    <row r="890" spans="1:10" x14ac:dyDescent="0.25">
      <c r="A890" s="31" t="s">
        <v>706</v>
      </c>
      <c r="B890" s="31">
        <v>22.029900000000001</v>
      </c>
      <c r="C890" s="32" t="s">
        <v>11366</v>
      </c>
      <c r="D890" s="31" t="s">
        <v>11306</v>
      </c>
      <c r="E890" s="40" t="s">
        <v>11367</v>
      </c>
      <c r="F890" s="38" t="s">
        <v>8990</v>
      </c>
      <c r="G890" s="34" t="s">
        <v>9426</v>
      </c>
      <c r="I890" s="44" t="s">
        <v>11317</v>
      </c>
      <c r="J890" s="36" t="s">
        <v>706</v>
      </c>
    </row>
    <row r="891" spans="1:10" x14ac:dyDescent="0.25">
      <c r="A891" s="31" t="s">
        <v>707</v>
      </c>
      <c r="B891" s="31">
        <v>22.03</v>
      </c>
      <c r="C891" s="32" t="s">
        <v>11368</v>
      </c>
      <c r="D891" s="31" t="s">
        <v>11306</v>
      </c>
      <c r="E891" s="40" t="s">
        <v>9427</v>
      </c>
      <c r="F891" s="38" t="s">
        <v>8990</v>
      </c>
      <c r="G891" s="34" t="s">
        <v>9427</v>
      </c>
      <c r="H891" s="34" t="s">
        <v>9427</v>
      </c>
      <c r="I891" s="44" t="s">
        <v>11368</v>
      </c>
      <c r="J891" s="36" t="s">
        <v>707</v>
      </c>
    </row>
    <row r="892" spans="1:10" x14ac:dyDescent="0.25">
      <c r="A892" s="31" t="s">
        <v>708</v>
      </c>
      <c r="B892" s="31">
        <v>22.030100000000001</v>
      </c>
      <c r="C892" s="32" t="s">
        <v>11369</v>
      </c>
      <c r="D892" s="31" t="s">
        <v>11306</v>
      </c>
      <c r="E892" s="40" t="s">
        <v>11370</v>
      </c>
      <c r="F892" s="38" t="s">
        <v>8990</v>
      </c>
      <c r="G892" s="34" t="s">
        <v>9427</v>
      </c>
      <c r="I892" s="44" t="s">
        <v>11368</v>
      </c>
      <c r="J892" s="36" t="s">
        <v>708</v>
      </c>
    </row>
    <row r="893" spans="1:10" x14ac:dyDescent="0.25">
      <c r="A893" s="31" t="s">
        <v>709</v>
      </c>
      <c r="B893" s="31">
        <v>22.030200000000001</v>
      </c>
      <c r="C893" s="32" t="s">
        <v>11371</v>
      </c>
      <c r="D893" s="31" t="s">
        <v>11306</v>
      </c>
      <c r="E893" s="40" t="s">
        <v>11372</v>
      </c>
      <c r="F893" s="38" t="s">
        <v>8990</v>
      </c>
      <c r="G893" s="34" t="s">
        <v>9427</v>
      </c>
      <c r="I893" s="44" t="s">
        <v>11368</v>
      </c>
      <c r="J893" s="36" t="s">
        <v>709</v>
      </c>
    </row>
    <row r="894" spans="1:10" x14ac:dyDescent="0.25">
      <c r="A894" s="31" t="s">
        <v>1946</v>
      </c>
      <c r="B894" s="31">
        <v>22.0303</v>
      </c>
      <c r="C894" s="32" t="s">
        <v>11373</v>
      </c>
      <c r="D894" s="31" t="s">
        <v>11306</v>
      </c>
      <c r="E894" s="40" t="s">
        <v>11374</v>
      </c>
      <c r="F894" s="38" t="s">
        <v>8990</v>
      </c>
      <c r="G894" s="34" t="s">
        <v>9427</v>
      </c>
      <c r="I894" s="44" t="s">
        <v>11368</v>
      </c>
      <c r="J894" s="36" t="s">
        <v>1946</v>
      </c>
    </row>
    <row r="895" spans="1:10" x14ac:dyDescent="0.25">
      <c r="A895" s="31" t="s">
        <v>1947</v>
      </c>
      <c r="B895" s="31">
        <v>22.0304</v>
      </c>
      <c r="C895" s="32" t="s">
        <v>11375</v>
      </c>
      <c r="D895" s="31" t="s">
        <v>11306</v>
      </c>
      <c r="E895" s="40" t="s">
        <v>11376</v>
      </c>
      <c r="F895" s="38" t="s">
        <v>8990</v>
      </c>
      <c r="G895" s="34" t="s">
        <v>9427</v>
      </c>
      <c r="I895" s="44" t="s">
        <v>11368</v>
      </c>
      <c r="J895" s="36" t="s">
        <v>1947</v>
      </c>
    </row>
    <row r="896" spans="1:10" x14ac:dyDescent="0.25">
      <c r="A896" s="31" t="s">
        <v>1948</v>
      </c>
      <c r="B896" s="31">
        <v>22.0305</v>
      </c>
      <c r="C896" s="32" t="s">
        <v>11377</v>
      </c>
      <c r="D896" s="31" t="s">
        <v>11306</v>
      </c>
      <c r="E896" s="40" t="s">
        <v>11378</v>
      </c>
      <c r="F896" s="38" t="s">
        <v>8990</v>
      </c>
      <c r="G896" s="34" t="s">
        <v>9427</v>
      </c>
      <c r="I896" s="44" t="s">
        <v>11368</v>
      </c>
      <c r="J896" s="36" t="s">
        <v>1948</v>
      </c>
    </row>
    <row r="897" spans="1:10" x14ac:dyDescent="0.25">
      <c r="A897" s="31" t="s">
        <v>710</v>
      </c>
      <c r="B897" s="31">
        <v>22.039899999999999</v>
      </c>
      <c r="C897" s="32" t="s">
        <v>11379</v>
      </c>
      <c r="D897" s="31" t="s">
        <v>11306</v>
      </c>
      <c r="E897" s="40" t="s">
        <v>11380</v>
      </c>
      <c r="F897" s="38" t="s">
        <v>8990</v>
      </c>
      <c r="G897" s="34" t="s">
        <v>9427</v>
      </c>
      <c r="I897" s="44" t="s">
        <v>11368</v>
      </c>
      <c r="J897" s="36" t="s">
        <v>710</v>
      </c>
    </row>
    <row r="898" spans="1:10" x14ac:dyDescent="0.25">
      <c r="A898" s="31" t="s">
        <v>711</v>
      </c>
      <c r="B898" s="31">
        <v>22.99</v>
      </c>
      <c r="C898" s="32" t="s">
        <v>11381</v>
      </c>
      <c r="D898" s="31" t="s">
        <v>11306</v>
      </c>
      <c r="E898" s="40" t="s">
        <v>9428</v>
      </c>
      <c r="F898" s="38" t="s">
        <v>8990</v>
      </c>
      <c r="G898" s="34" t="s">
        <v>9428</v>
      </c>
      <c r="H898" s="34" t="s">
        <v>9428</v>
      </c>
      <c r="I898" s="44" t="s">
        <v>11381</v>
      </c>
      <c r="J898" s="36" t="s">
        <v>711</v>
      </c>
    </row>
    <row r="899" spans="1:10" x14ac:dyDescent="0.25">
      <c r="A899" s="31" t="s">
        <v>711</v>
      </c>
      <c r="B899" s="31">
        <v>22.9999</v>
      </c>
      <c r="C899" s="32" t="s">
        <v>11382</v>
      </c>
      <c r="D899" s="31" t="s">
        <v>11306</v>
      </c>
      <c r="E899" s="40" t="s">
        <v>11383</v>
      </c>
      <c r="F899" s="38" t="s">
        <v>8990</v>
      </c>
      <c r="G899" s="34" t="s">
        <v>9428</v>
      </c>
      <c r="I899" s="44" t="s">
        <v>11381</v>
      </c>
      <c r="J899" s="36" t="s">
        <v>711</v>
      </c>
    </row>
    <row r="900" spans="1:10" x14ac:dyDescent="0.25">
      <c r="A900" s="31" t="s">
        <v>712</v>
      </c>
      <c r="B900" s="31">
        <v>23</v>
      </c>
      <c r="C900" s="32" t="s">
        <v>11384</v>
      </c>
      <c r="D900" s="31" t="s">
        <v>11384</v>
      </c>
      <c r="E900" s="40" t="s">
        <v>9429</v>
      </c>
      <c r="F900" s="38" t="s">
        <v>8996</v>
      </c>
      <c r="G900" s="34" t="s">
        <v>9429</v>
      </c>
      <c r="H900" s="34" t="s">
        <v>9429</v>
      </c>
      <c r="I900" s="45" t="s">
        <v>11384</v>
      </c>
      <c r="J900" s="36" t="s">
        <v>712</v>
      </c>
    </row>
    <row r="901" spans="1:10" x14ac:dyDescent="0.25">
      <c r="A901" s="31" t="s">
        <v>713</v>
      </c>
      <c r="B901" s="31">
        <v>23.01</v>
      </c>
      <c r="C901" s="32" t="s">
        <v>11385</v>
      </c>
      <c r="D901" s="31" t="s">
        <v>11384</v>
      </c>
      <c r="E901" s="40" t="s">
        <v>9430</v>
      </c>
      <c r="F901" s="38" t="s">
        <v>8996</v>
      </c>
      <c r="G901" s="34" t="s">
        <v>9430</v>
      </c>
      <c r="H901" s="34" t="s">
        <v>9430</v>
      </c>
      <c r="I901" s="44" t="s">
        <v>11385</v>
      </c>
      <c r="J901" s="36" t="s">
        <v>713</v>
      </c>
    </row>
    <row r="902" spans="1:10" x14ac:dyDescent="0.25">
      <c r="A902" s="31" t="s">
        <v>713</v>
      </c>
      <c r="B902" s="31">
        <v>23.010100000000001</v>
      </c>
      <c r="C902" s="32" t="s">
        <v>11386</v>
      </c>
      <c r="D902" s="31" t="s">
        <v>11384</v>
      </c>
      <c r="E902" s="40" t="s">
        <v>11387</v>
      </c>
      <c r="F902" s="38" t="s">
        <v>8996</v>
      </c>
      <c r="G902" s="34" t="s">
        <v>9430</v>
      </c>
      <c r="I902" s="44" t="s">
        <v>11385</v>
      </c>
      <c r="J902" s="36" t="s">
        <v>713</v>
      </c>
    </row>
    <row r="903" spans="1:10" x14ac:dyDescent="0.25">
      <c r="A903" s="31" t="s">
        <v>718</v>
      </c>
      <c r="B903" s="31">
        <v>23.13</v>
      </c>
      <c r="C903" s="32" t="s">
        <v>11388</v>
      </c>
      <c r="D903" s="31" t="s">
        <v>11384</v>
      </c>
      <c r="E903" s="40" t="s">
        <v>9431</v>
      </c>
      <c r="F903" s="38" t="s">
        <v>8996</v>
      </c>
      <c r="G903" s="34" t="s">
        <v>9431</v>
      </c>
      <c r="H903" s="34" t="s">
        <v>9431</v>
      </c>
      <c r="I903" s="44" t="s">
        <v>11388</v>
      </c>
      <c r="J903" s="36" t="s">
        <v>718</v>
      </c>
    </row>
    <row r="904" spans="1:10" x14ac:dyDescent="0.25">
      <c r="A904" s="31" t="s">
        <v>719</v>
      </c>
      <c r="B904" s="31">
        <v>23.130099999999999</v>
      </c>
      <c r="C904" s="32" t="s">
        <v>11389</v>
      </c>
      <c r="D904" s="31" t="s">
        <v>11384</v>
      </c>
      <c r="E904" s="40" t="s">
        <v>11390</v>
      </c>
      <c r="F904" s="38" t="s">
        <v>8996</v>
      </c>
      <c r="G904" s="34" t="s">
        <v>9431</v>
      </c>
      <c r="I904" s="44" t="s">
        <v>11388</v>
      </c>
      <c r="J904" s="36" t="s">
        <v>719</v>
      </c>
    </row>
    <row r="905" spans="1:10" x14ac:dyDescent="0.25">
      <c r="A905" s="31" t="s">
        <v>714</v>
      </c>
      <c r="B905" s="31">
        <v>23.130199999999999</v>
      </c>
      <c r="C905" s="32" t="s">
        <v>11391</v>
      </c>
      <c r="D905" s="31" t="s">
        <v>11384</v>
      </c>
      <c r="E905" s="40" t="s">
        <v>11392</v>
      </c>
      <c r="F905" s="38" t="s">
        <v>8996</v>
      </c>
      <c r="G905" s="34" t="s">
        <v>9431</v>
      </c>
      <c r="I905" s="44" t="s">
        <v>11388</v>
      </c>
      <c r="J905" s="36" t="s">
        <v>714</v>
      </c>
    </row>
    <row r="906" spans="1:10" x14ac:dyDescent="0.25">
      <c r="A906" s="31" t="s">
        <v>720</v>
      </c>
      <c r="B906" s="31">
        <v>23.130299999999998</v>
      </c>
      <c r="C906" s="32" t="s">
        <v>11393</v>
      </c>
      <c r="D906" s="31" t="s">
        <v>11384</v>
      </c>
      <c r="E906" s="40" t="s">
        <v>11394</v>
      </c>
      <c r="F906" s="38" t="s">
        <v>8996</v>
      </c>
      <c r="G906" s="34" t="s">
        <v>9431</v>
      </c>
      <c r="I906" s="44" t="s">
        <v>11388</v>
      </c>
      <c r="J906" s="36" t="s">
        <v>720</v>
      </c>
    </row>
    <row r="907" spans="1:10" x14ac:dyDescent="0.25">
      <c r="A907" s="31" t="s">
        <v>721</v>
      </c>
      <c r="B907" s="31">
        <v>23.130400000000002</v>
      </c>
      <c r="C907" s="32" t="s">
        <v>11395</v>
      </c>
      <c r="D907" s="31" t="s">
        <v>11384</v>
      </c>
      <c r="E907" s="40" t="s">
        <v>11396</v>
      </c>
      <c r="F907" s="38" t="s">
        <v>8996</v>
      </c>
      <c r="G907" s="34" t="s">
        <v>9431</v>
      </c>
      <c r="I907" s="44" t="s">
        <v>11388</v>
      </c>
      <c r="J907" s="36" t="s">
        <v>721</v>
      </c>
    </row>
    <row r="908" spans="1:10" x14ac:dyDescent="0.25">
      <c r="A908" s="31" t="s">
        <v>722</v>
      </c>
      <c r="B908" s="31">
        <v>23.139900000000001</v>
      </c>
      <c r="C908" s="32" t="s">
        <v>11397</v>
      </c>
      <c r="D908" s="31" t="s">
        <v>11384</v>
      </c>
      <c r="E908" s="40" t="s">
        <v>11398</v>
      </c>
      <c r="F908" s="38" t="s">
        <v>8996</v>
      </c>
      <c r="G908" s="34" t="s">
        <v>9431</v>
      </c>
      <c r="I908" s="44" t="s">
        <v>11388</v>
      </c>
      <c r="J908" s="36" t="s">
        <v>722</v>
      </c>
    </row>
    <row r="909" spans="1:10" x14ac:dyDescent="0.25">
      <c r="A909" s="31" t="s">
        <v>723</v>
      </c>
      <c r="B909" s="31">
        <v>23.14</v>
      </c>
      <c r="C909" s="32" t="s">
        <v>11399</v>
      </c>
      <c r="D909" s="31" t="s">
        <v>11384</v>
      </c>
      <c r="E909" s="40" t="s">
        <v>9432</v>
      </c>
      <c r="F909" s="38" t="s">
        <v>8996</v>
      </c>
      <c r="G909" s="34" t="s">
        <v>9432</v>
      </c>
      <c r="H909" s="34" t="s">
        <v>9432</v>
      </c>
      <c r="I909" s="44" t="s">
        <v>11399</v>
      </c>
      <c r="J909" s="36" t="s">
        <v>723</v>
      </c>
    </row>
    <row r="910" spans="1:10" x14ac:dyDescent="0.25">
      <c r="A910" s="31" t="s">
        <v>724</v>
      </c>
      <c r="B910" s="31">
        <v>23.1401</v>
      </c>
      <c r="C910" s="32" t="s">
        <v>11400</v>
      </c>
      <c r="D910" s="31" t="s">
        <v>11384</v>
      </c>
      <c r="E910" s="40" t="s">
        <v>11401</v>
      </c>
      <c r="F910" s="38" t="s">
        <v>8996</v>
      </c>
      <c r="G910" s="34" t="s">
        <v>9432</v>
      </c>
      <c r="I910" s="44" t="s">
        <v>11399</v>
      </c>
      <c r="J910" s="36" t="s">
        <v>724</v>
      </c>
    </row>
    <row r="911" spans="1:10" x14ac:dyDescent="0.25">
      <c r="A911" s="31" t="s">
        <v>715</v>
      </c>
      <c r="B911" s="31">
        <v>23.1402</v>
      </c>
      <c r="C911" s="32" t="s">
        <v>11402</v>
      </c>
      <c r="D911" s="31" t="s">
        <v>11384</v>
      </c>
      <c r="E911" s="40" t="s">
        <v>11403</v>
      </c>
      <c r="F911" s="38" t="s">
        <v>8996</v>
      </c>
      <c r="G911" s="34" t="s">
        <v>9432</v>
      </c>
      <c r="I911" s="44" t="s">
        <v>11399</v>
      </c>
      <c r="J911" s="36" t="s">
        <v>715</v>
      </c>
    </row>
    <row r="912" spans="1:10" x14ac:dyDescent="0.25">
      <c r="A912" s="31" t="s">
        <v>716</v>
      </c>
      <c r="B912" s="31">
        <v>23.1403</v>
      </c>
      <c r="C912" s="32" t="s">
        <v>11404</v>
      </c>
      <c r="D912" s="31" t="s">
        <v>11384</v>
      </c>
      <c r="E912" s="40" t="s">
        <v>11405</v>
      </c>
      <c r="F912" s="38" t="s">
        <v>8996</v>
      </c>
      <c r="G912" s="34" t="s">
        <v>9432</v>
      </c>
      <c r="I912" s="44" t="s">
        <v>11399</v>
      </c>
      <c r="J912" s="36" t="s">
        <v>716</v>
      </c>
    </row>
    <row r="913" spans="1:10" x14ac:dyDescent="0.25">
      <c r="A913" s="31" t="s">
        <v>717</v>
      </c>
      <c r="B913" s="31">
        <v>23.1404</v>
      </c>
      <c r="C913" s="32" t="s">
        <v>11406</v>
      </c>
      <c r="D913" s="31" t="s">
        <v>11384</v>
      </c>
      <c r="E913" s="40" t="s">
        <v>11407</v>
      </c>
      <c r="F913" s="38" t="s">
        <v>8996</v>
      </c>
      <c r="G913" s="34" t="s">
        <v>9432</v>
      </c>
      <c r="I913" s="44" t="s">
        <v>11399</v>
      </c>
      <c r="J913" s="36" t="s">
        <v>717</v>
      </c>
    </row>
    <row r="914" spans="1:10" x14ac:dyDescent="0.25">
      <c r="A914" s="31" t="s">
        <v>725</v>
      </c>
      <c r="B914" s="31">
        <v>23.140499999999999</v>
      </c>
      <c r="C914" s="32" t="s">
        <v>11408</v>
      </c>
      <c r="D914" s="31" t="s">
        <v>11384</v>
      </c>
      <c r="E914" s="40" t="s">
        <v>11409</v>
      </c>
      <c r="F914" s="38" t="s">
        <v>8996</v>
      </c>
      <c r="G914" s="34" t="s">
        <v>9432</v>
      </c>
      <c r="I914" s="44" t="s">
        <v>11399</v>
      </c>
      <c r="J914" s="36" t="s">
        <v>725</v>
      </c>
    </row>
    <row r="915" spans="1:10" x14ac:dyDescent="0.25">
      <c r="A915" s="31" t="s">
        <v>726</v>
      </c>
      <c r="B915" s="31">
        <v>23.149899999999999</v>
      </c>
      <c r="C915" s="32" t="s">
        <v>11410</v>
      </c>
      <c r="D915" s="31" t="s">
        <v>11384</v>
      </c>
      <c r="E915" s="40" t="s">
        <v>11411</v>
      </c>
      <c r="F915" s="38" t="s">
        <v>8996</v>
      </c>
      <c r="G915" s="34" t="s">
        <v>9432</v>
      </c>
      <c r="I915" s="44" t="s">
        <v>11399</v>
      </c>
      <c r="J915" s="36" t="s">
        <v>726</v>
      </c>
    </row>
    <row r="916" spans="1:10" x14ac:dyDescent="0.25">
      <c r="A916" s="31" t="s">
        <v>727</v>
      </c>
      <c r="B916" s="31">
        <v>23.99</v>
      </c>
      <c r="C916" s="32" t="s">
        <v>11412</v>
      </c>
      <c r="D916" s="31" t="s">
        <v>11384</v>
      </c>
      <c r="E916" s="40" t="s">
        <v>9433</v>
      </c>
      <c r="F916" s="38" t="s">
        <v>8996</v>
      </c>
      <c r="G916" s="34" t="s">
        <v>9433</v>
      </c>
      <c r="H916" s="34" t="s">
        <v>9433</v>
      </c>
      <c r="I916" s="35" t="s">
        <v>11412</v>
      </c>
      <c r="J916" s="36" t="s">
        <v>727</v>
      </c>
    </row>
    <row r="917" spans="1:10" x14ac:dyDescent="0.25">
      <c r="A917" s="31" t="s">
        <v>727</v>
      </c>
      <c r="B917" s="31">
        <v>23.9999</v>
      </c>
      <c r="C917" s="32" t="s">
        <v>11413</v>
      </c>
      <c r="D917" s="31" t="s">
        <v>11384</v>
      </c>
      <c r="E917" s="40" t="s">
        <v>11414</v>
      </c>
      <c r="F917" s="38" t="s">
        <v>8996</v>
      </c>
      <c r="G917" s="34" t="s">
        <v>9433</v>
      </c>
      <c r="I917" s="35" t="s">
        <v>11412</v>
      </c>
      <c r="J917" s="36" t="s">
        <v>727</v>
      </c>
    </row>
    <row r="918" spans="1:10" x14ac:dyDescent="0.25">
      <c r="A918" s="31" t="s">
        <v>728</v>
      </c>
      <c r="B918" s="31">
        <v>24</v>
      </c>
      <c r="C918" s="32" t="s">
        <v>11415</v>
      </c>
      <c r="D918" s="31" t="s">
        <v>11415</v>
      </c>
      <c r="E918" s="40" t="s">
        <v>9434</v>
      </c>
      <c r="F918" s="38" t="s">
        <v>9002</v>
      </c>
      <c r="G918" s="34" t="s">
        <v>9434</v>
      </c>
      <c r="H918" s="34" t="s">
        <v>9434</v>
      </c>
      <c r="I918" s="45" t="s">
        <v>11415</v>
      </c>
      <c r="J918" s="36" t="s">
        <v>728</v>
      </c>
    </row>
    <row r="919" spans="1:10" x14ac:dyDescent="0.25">
      <c r="A919" s="31" t="s">
        <v>729</v>
      </c>
      <c r="B919" s="31">
        <v>24.01</v>
      </c>
      <c r="C919" s="32" t="s">
        <v>11416</v>
      </c>
      <c r="D919" s="31" t="s">
        <v>11415</v>
      </c>
      <c r="E919" s="40" t="s">
        <v>9435</v>
      </c>
      <c r="F919" s="38" t="s">
        <v>9002</v>
      </c>
      <c r="G919" s="34" t="s">
        <v>9435</v>
      </c>
      <c r="H919" s="34" t="s">
        <v>9435</v>
      </c>
      <c r="I919" s="35" t="s">
        <v>11416</v>
      </c>
      <c r="J919" s="36" t="s">
        <v>729</v>
      </c>
    </row>
    <row r="920" spans="1:10" x14ac:dyDescent="0.25">
      <c r="A920" s="31" t="s">
        <v>730</v>
      </c>
      <c r="B920" s="31">
        <v>24.010100000000001</v>
      </c>
      <c r="C920" s="32" t="s">
        <v>11417</v>
      </c>
      <c r="D920" s="31" t="s">
        <v>11415</v>
      </c>
      <c r="E920" s="40" t="s">
        <v>11418</v>
      </c>
      <c r="F920" s="38" t="s">
        <v>9002</v>
      </c>
      <c r="G920" s="34" t="s">
        <v>9435</v>
      </c>
      <c r="I920" s="35" t="s">
        <v>11416</v>
      </c>
      <c r="J920" s="36" t="s">
        <v>730</v>
      </c>
    </row>
    <row r="921" spans="1:10" x14ac:dyDescent="0.25">
      <c r="A921" s="31" t="s">
        <v>731</v>
      </c>
      <c r="B921" s="31">
        <v>24.010200000000001</v>
      </c>
      <c r="C921" s="32" t="s">
        <v>11419</v>
      </c>
      <c r="D921" s="31" t="s">
        <v>11415</v>
      </c>
      <c r="E921" s="40" t="s">
        <v>11420</v>
      </c>
      <c r="F921" s="38" t="s">
        <v>9002</v>
      </c>
      <c r="G921" s="34" t="s">
        <v>9435</v>
      </c>
      <c r="I921" s="35" t="s">
        <v>11416</v>
      </c>
      <c r="J921" s="36" t="s">
        <v>731</v>
      </c>
    </row>
    <row r="922" spans="1:10" x14ac:dyDescent="0.25">
      <c r="A922" s="31" t="s">
        <v>732</v>
      </c>
      <c r="B922" s="31">
        <v>24.010300000000001</v>
      </c>
      <c r="C922" s="32" t="s">
        <v>11421</v>
      </c>
      <c r="D922" s="31" t="s">
        <v>11415</v>
      </c>
      <c r="E922" s="40" t="s">
        <v>11422</v>
      </c>
      <c r="F922" s="38" t="s">
        <v>9002</v>
      </c>
      <c r="G922" s="34" t="s">
        <v>9435</v>
      </c>
      <c r="I922" s="35" t="s">
        <v>11416</v>
      </c>
      <c r="J922" s="36" t="s">
        <v>732</v>
      </c>
    </row>
    <row r="923" spans="1:10" x14ac:dyDescent="0.25">
      <c r="A923" s="31" t="s">
        <v>733</v>
      </c>
      <c r="B923" s="31">
        <v>24.0199</v>
      </c>
      <c r="C923" s="32" t="s">
        <v>11423</v>
      </c>
      <c r="D923" s="31" t="s">
        <v>11415</v>
      </c>
      <c r="E923" s="40" t="s">
        <v>11424</v>
      </c>
      <c r="F923" s="38" t="s">
        <v>9002</v>
      </c>
      <c r="G923" s="34" t="s">
        <v>9435</v>
      </c>
      <c r="I923" s="35" t="s">
        <v>11416</v>
      </c>
      <c r="J923" s="36" t="s">
        <v>733</v>
      </c>
    </row>
    <row r="924" spans="1:10" x14ac:dyDescent="0.25">
      <c r="A924" s="31" t="s">
        <v>734</v>
      </c>
      <c r="B924" s="31">
        <v>25</v>
      </c>
      <c r="C924" s="32" t="s">
        <v>11425</v>
      </c>
      <c r="D924" s="31" t="s">
        <v>11425</v>
      </c>
      <c r="E924" s="40" t="s">
        <v>9436</v>
      </c>
      <c r="F924" s="38" t="s">
        <v>9006</v>
      </c>
      <c r="G924" s="34" t="s">
        <v>9436</v>
      </c>
      <c r="H924" s="34" t="s">
        <v>9436</v>
      </c>
      <c r="I924" s="46" t="s">
        <v>11425</v>
      </c>
      <c r="J924" s="36" t="s">
        <v>734</v>
      </c>
    </row>
    <row r="925" spans="1:10" x14ac:dyDescent="0.25">
      <c r="A925" s="31" t="s">
        <v>735</v>
      </c>
      <c r="B925" s="31">
        <v>25.01</v>
      </c>
      <c r="C925" s="32" t="s">
        <v>11426</v>
      </c>
      <c r="D925" s="31" t="s">
        <v>11425</v>
      </c>
      <c r="E925" s="40" t="s">
        <v>9437</v>
      </c>
      <c r="F925" s="38" t="s">
        <v>9006</v>
      </c>
      <c r="G925" s="34" t="s">
        <v>9437</v>
      </c>
      <c r="H925" s="34" t="s">
        <v>9437</v>
      </c>
      <c r="I925" s="35" t="s">
        <v>11426</v>
      </c>
      <c r="J925" s="36" t="s">
        <v>735</v>
      </c>
    </row>
    <row r="926" spans="1:10" x14ac:dyDescent="0.25">
      <c r="A926" s="31" t="s">
        <v>736</v>
      </c>
      <c r="B926" s="31">
        <v>25.010100000000001</v>
      </c>
      <c r="C926" s="32" t="s">
        <v>11427</v>
      </c>
      <c r="D926" s="31" t="s">
        <v>11425</v>
      </c>
      <c r="E926" s="40" t="s">
        <v>11428</v>
      </c>
      <c r="F926" s="38" t="s">
        <v>9006</v>
      </c>
      <c r="G926" s="34" t="s">
        <v>9437</v>
      </c>
      <c r="I926" s="35" t="s">
        <v>11426</v>
      </c>
      <c r="J926" s="36" t="s">
        <v>736</v>
      </c>
    </row>
    <row r="927" spans="1:10" x14ac:dyDescent="0.25">
      <c r="A927" s="31" t="s">
        <v>737</v>
      </c>
      <c r="B927" s="31">
        <v>25.010200000000001</v>
      </c>
      <c r="C927" s="32" t="s">
        <v>11429</v>
      </c>
      <c r="D927" s="31" t="s">
        <v>11425</v>
      </c>
      <c r="E927" s="40" t="s">
        <v>11430</v>
      </c>
      <c r="F927" s="38" t="s">
        <v>9006</v>
      </c>
      <c r="G927" s="34" t="s">
        <v>9437</v>
      </c>
      <c r="I927" s="35" t="s">
        <v>11426</v>
      </c>
      <c r="J927" s="36" t="s">
        <v>737</v>
      </c>
    </row>
    <row r="928" spans="1:10" x14ac:dyDescent="0.25">
      <c r="A928" s="31" t="s">
        <v>738</v>
      </c>
      <c r="B928" s="31">
        <v>25.010300000000001</v>
      </c>
      <c r="C928" s="32" t="s">
        <v>11431</v>
      </c>
      <c r="D928" s="31" t="s">
        <v>11425</v>
      </c>
      <c r="E928" s="40" t="s">
        <v>11432</v>
      </c>
      <c r="F928" s="38" t="s">
        <v>9006</v>
      </c>
      <c r="G928" s="34" t="s">
        <v>9437</v>
      </c>
      <c r="I928" s="35" t="s">
        <v>11426</v>
      </c>
      <c r="J928" s="36" t="s">
        <v>738</v>
      </c>
    </row>
    <row r="929" spans="1:10" x14ac:dyDescent="0.25">
      <c r="A929" s="31" t="s">
        <v>739</v>
      </c>
      <c r="B929" s="31">
        <v>25.0199</v>
      </c>
      <c r="C929" s="32" t="s">
        <v>11433</v>
      </c>
      <c r="D929" s="31" t="s">
        <v>11425</v>
      </c>
      <c r="E929" s="40" t="s">
        <v>11434</v>
      </c>
      <c r="F929" s="38" t="s">
        <v>9006</v>
      </c>
      <c r="G929" s="34" t="s">
        <v>9437</v>
      </c>
      <c r="I929" s="35" t="s">
        <v>11426</v>
      </c>
      <c r="J929" s="36" t="s">
        <v>739</v>
      </c>
    </row>
    <row r="930" spans="1:10" x14ac:dyDescent="0.25">
      <c r="A930" s="31" t="s">
        <v>740</v>
      </c>
      <c r="B930" s="31">
        <v>25.03</v>
      </c>
      <c r="C930" s="32" t="s">
        <v>11435</v>
      </c>
      <c r="D930" s="31" t="s">
        <v>11425</v>
      </c>
      <c r="E930" s="40" t="s">
        <v>9438</v>
      </c>
      <c r="F930" s="38" t="s">
        <v>9006</v>
      </c>
      <c r="G930" s="34" t="s">
        <v>9438</v>
      </c>
      <c r="H930" s="34" t="s">
        <v>9438</v>
      </c>
      <c r="I930" s="35" t="s">
        <v>11435</v>
      </c>
      <c r="J930" s="36" t="s">
        <v>740</v>
      </c>
    </row>
    <row r="931" spans="1:10" x14ac:dyDescent="0.25">
      <c r="A931" s="31" t="s">
        <v>740</v>
      </c>
      <c r="B931" s="31">
        <v>25.030100000000001</v>
      </c>
      <c r="C931" s="32" t="s">
        <v>11436</v>
      </c>
      <c r="D931" s="31" t="s">
        <v>11425</v>
      </c>
      <c r="E931" s="40" t="s">
        <v>11437</v>
      </c>
      <c r="F931" s="38" t="s">
        <v>9006</v>
      </c>
      <c r="G931" s="34" t="s">
        <v>9438</v>
      </c>
      <c r="I931" s="35" t="s">
        <v>11435</v>
      </c>
      <c r="J931" s="36" t="s">
        <v>740</v>
      </c>
    </row>
    <row r="932" spans="1:10" x14ac:dyDescent="0.25">
      <c r="A932" s="31" t="s">
        <v>741</v>
      </c>
      <c r="B932" s="31">
        <v>25.99</v>
      </c>
      <c r="C932" s="32" t="s">
        <v>11438</v>
      </c>
      <c r="D932" s="31" t="s">
        <v>11425</v>
      </c>
      <c r="E932" s="40" t="s">
        <v>9439</v>
      </c>
      <c r="F932" s="38" t="s">
        <v>9006</v>
      </c>
      <c r="G932" s="34" t="s">
        <v>9439</v>
      </c>
      <c r="H932" s="34" t="s">
        <v>9439</v>
      </c>
      <c r="I932" s="35" t="s">
        <v>11438</v>
      </c>
      <c r="J932" s="36" t="s">
        <v>741</v>
      </c>
    </row>
    <row r="933" spans="1:10" x14ac:dyDescent="0.25">
      <c r="A933" s="31" t="s">
        <v>741</v>
      </c>
      <c r="B933" s="31">
        <v>25.9999</v>
      </c>
      <c r="C933" s="32" t="s">
        <v>11439</v>
      </c>
      <c r="D933" s="31" t="s">
        <v>11425</v>
      </c>
      <c r="E933" s="40" t="s">
        <v>11440</v>
      </c>
      <c r="F933" s="38" t="s">
        <v>9006</v>
      </c>
      <c r="G933" s="34" t="s">
        <v>9439</v>
      </c>
      <c r="I933" s="35" t="s">
        <v>11438</v>
      </c>
      <c r="J933" s="36" t="s">
        <v>741</v>
      </c>
    </row>
    <row r="934" spans="1:10" x14ac:dyDescent="0.25">
      <c r="A934" s="31" t="s">
        <v>742</v>
      </c>
      <c r="B934" s="31">
        <v>26</v>
      </c>
      <c r="C934" s="32" t="s">
        <v>11441</v>
      </c>
      <c r="D934" s="31" t="s">
        <v>11441</v>
      </c>
      <c r="E934" s="40" t="s">
        <v>9440</v>
      </c>
      <c r="F934" s="38" t="s">
        <v>9009</v>
      </c>
      <c r="G934" s="34" t="s">
        <v>9440</v>
      </c>
      <c r="H934" s="34" t="s">
        <v>9440</v>
      </c>
      <c r="I934" s="45" t="s">
        <v>11441</v>
      </c>
      <c r="J934" s="36" t="s">
        <v>742</v>
      </c>
    </row>
    <row r="935" spans="1:10" x14ac:dyDescent="0.25">
      <c r="A935" s="31" t="s">
        <v>743</v>
      </c>
      <c r="B935" s="31">
        <v>26.01</v>
      </c>
      <c r="C935" s="32" t="s">
        <v>11442</v>
      </c>
      <c r="D935" s="31" t="s">
        <v>11441</v>
      </c>
      <c r="E935" s="40" t="s">
        <v>9441</v>
      </c>
      <c r="F935" s="38" t="s">
        <v>9009</v>
      </c>
      <c r="G935" s="34" t="s">
        <v>9441</v>
      </c>
      <c r="H935" s="34" t="s">
        <v>9441</v>
      </c>
      <c r="I935" s="44" t="s">
        <v>11442</v>
      </c>
      <c r="J935" s="36" t="s">
        <v>743</v>
      </c>
    </row>
    <row r="936" spans="1:10" x14ac:dyDescent="0.25">
      <c r="A936" s="31" t="s">
        <v>744</v>
      </c>
      <c r="B936" s="31">
        <v>26.010100000000001</v>
      </c>
      <c r="C936" s="32" t="s">
        <v>11443</v>
      </c>
      <c r="D936" s="31" t="s">
        <v>11441</v>
      </c>
      <c r="E936" s="40" t="s">
        <v>11444</v>
      </c>
      <c r="F936" s="38" t="s">
        <v>9009</v>
      </c>
      <c r="G936" s="34" t="s">
        <v>9441</v>
      </c>
      <c r="I936" s="44" t="s">
        <v>11442</v>
      </c>
      <c r="J936" s="36" t="s">
        <v>744</v>
      </c>
    </row>
    <row r="937" spans="1:10" x14ac:dyDescent="0.25">
      <c r="A937" s="31" t="s">
        <v>745</v>
      </c>
      <c r="B937" s="31">
        <v>26.010200000000001</v>
      </c>
      <c r="C937" s="32" t="s">
        <v>11445</v>
      </c>
      <c r="D937" s="31" t="s">
        <v>11441</v>
      </c>
      <c r="E937" s="40" t="s">
        <v>11446</v>
      </c>
      <c r="F937" s="38" t="s">
        <v>9009</v>
      </c>
      <c r="G937" s="34" t="s">
        <v>9441</v>
      </c>
      <c r="I937" s="44" t="s">
        <v>11442</v>
      </c>
      <c r="J937" s="36" t="s">
        <v>745</v>
      </c>
    </row>
    <row r="938" spans="1:10" x14ac:dyDescent="0.25">
      <c r="A938" s="31" t="s">
        <v>746</v>
      </c>
      <c r="B938" s="31">
        <v>26.02</v>
      </c>
      <c r="C938" s="32" t="s">
        <v>11447</v>
      </c>
      <c r="D938" s="31" t="s">
        <v>11441</v>
      </c>
      <c r="E938" s="40" t="s">
        <v>9442</v>
      </c>
      <c r="F938" s="38" t="s">
        <v>9009</v>
      </c>
      <c r="G938" s="34" t="s">
        <v>9442</v>
      </c>
      <c r="H938" s="34" t="s">
        <v>9442</v>
      </c>
      <c r="I938" s="44" t="s">
        <v>11447</v>
      </c>
      <c r="J938" s="36" t="s">
        <v>746</v>
      </c>
    </row>
    <row r="939" spans="1:10" x14ac:dyDescent="0.25">
      <c r="A939" s="31" t="s">
        <v>747</v>
      </c>
      <c r="B939" s="31">
        <v>26.020199999999999</v>
      </c>
      <c r="C939" s="32" t="s">
        <v>11448</v>
      </c>
      <c r="D939" s="31" t="s">
        <v>11441</v>
      </c>
      <c r="E939" s="40" t="s">
        <v>11449</v>
      </c>
      <c r="F939" s="38" t="s">
        <v>9009</v>
      </c>
      <c r="G939" s="34" t="s">
        <v>9442</v>
      </c>
      <c r="I939" s="44" t="s">
        <v>11447</v>
      </c>
      <c r="J939" s="36" t="s">
        <v>747</v>
      </c>
    </row>
    <row r="940" spans="1:10" x14ac:dyDescent="0.25">
      <c r="A940" s="31" t="s">
        <v>748</v>
      </c>
      <c r="B940" s="31">
        <v>26.020299999999999</v>
      </c>
      <c r="C940" s="32" t="s">
        <v>11450</v>
      </c>
      <c r="D940" s="31" t="s">
        <v>11441</v>
      </c>
      <c r="E940" s="40" t="s">
        <v>11451</v>
      </c>
      <c r="F940" s="38" t="s">
        <v>9009</v>
      </c>
      <c r="G940" s="34" t="s">
        <v>9442</v>
      </c>
      <c r="I940" s="44" t="s">
        <v>11447</v>
      </c>
      <c r="J940" s="36" t="s">
        <v>748</v>
      </c>
    </row>
    <row r="941" spans="1:10" x14ac:dyDescent="0.25">
      <c r="A941" s="31" t="s">
        <v>749</v>
      </c>
      <c r="B941" s="31">
        <v>26.020399999999999</v>
      </c>
      <c r="C941" s="32" t="s">
        <v>11452</v>
      </c>
      <c r="D941" s="31" t="s">
        <v>11441</v>
      </c>
      <c r="E941" s="40" t="s">
        <v>11453</v>
      </c>
      <c r="F941" s="38" t="s">
        <v>9009</v>
      </c>
      <c r="G941" s="34" t="s">
        <v>9442</v>
      </c>
      <c r="I941" s="44" t="s">
        <v>11447</v>
      </c>
      <c r="J941" s="36" t="s">
        <v>749</v>
      </c>
    </row>
    <row r="942" spans="1:10" x14ac:dyDescent="0.25">
      <c r="A942" s="31" t="s">
        <v>750</v>
      </c>
      <c r="B942" s="31">
        <v>26.020499999999998</v>
      </c>
      <c r="C942" s="32" t="s">
        <v>11454</v>
      </c>
      <c r="D942" s="31" t="s">
        <v>11441</v>
      </c>
      <c r="E942" s="40" t="s">
        <v>11455</v>
      </c>
      <c r="F942" s="38" t="s">
        <v>9009</v>
      </c>
      <c r="G942" s="34" t="s">
        <v>9442</v>
      </c>
      <c r="I942" s="44" t="s">
        <v>11447</v>
      </c>
      <c r="J942" s="36" t="s">
        <v>750</v>
      </c>
    </row>
    <row r="943" spans="1:10" x14ac:dyDescent="0.25">
      <c r="A943" s="31" t="s">
        <v>751</v>
      </c>
      <c r="B943" s="31">
        <v>26.020600000000002</v>
      </c>
      <c r="C943" s="32" t="s">
        <v>11456</v>
      </c>
      <c r="D943" s="31" t="s">
        <v>11441</v>
      </c>
      <c r="E943" s="40" t="s">
        <v>11457</v>
      </c>
      <c r="F943" s="38" t="s">
        <v>9009</v>
      </c>
      <c r="G943" s="34" t="s">
        <v>9442</v>
      </c>
      <c r="I943" s="44" t="s">
        <v>11447</v>
      </c>
      <c r="J943" s="36" t="s">
        <v>751</v>
      </c>
    </row>
    <row r="944" spans="1:10" x14ac:dyDescent="0.25">
      <c r="A944" s="31" t="s">
        <v>752</v>
      </c>
      <c r="B944" s="31">
        <v>26.020700000000001</v>
      </c>
      <c r="C944" s="32" t="s">
        <v>11458</v>
      </c>
      <c r="D944" s="31" t="s">
        <v>11441</v>
      </c>
      <c r="E944" s="40" t="s">
        <v>11459</v>
      </c>
      <c r="F944" s="38" t="s">
        <v>9009</v>
      </c>
      <c r="G944" s="34" t="s">
        <v>9442</v>
      </c>
      <c r="I944" s="44" t="s">
        <v>11447</v>
      </c>
      <c r="J944" s="36" t="s">
        <v>752</v>
      </c>
    </row>
    <row r="945" spans="1:10" x14ac:dyDescent="0.25">
      <c r="A945" s="31" t="s">
        <v>753</v>
      </c>
      <c r="B945" s="31">
        <v>26.020800000000001</v>
      </c>
      <c r="C945" s="32" t="s">
        <v>11460</v>
      </c>
      <c r="D945" s="31" t="s">
        <v>11441</v>
      </c>
      <c r="E945" s="40" t="s">
        <v>11461</v>
      </c>
      <c r="F945" s="38" t="s">
        <v>9009</v>
      </c>
      <c r="G945" s="34" t="s">
        <v>9442</v>
      </c>
      <c r="I945" s="44" t="s">
        <v>11447</v>
      </c>
      <c r="J945" s="36" t="s">
        <v>753</v>
      </c>
    </row>
    <row r="946" spans="1:10" x14ac:dyDescent="0.25">
      <c r="A946" s="31" t="s">
        <v>754</v>
      </c>
      <c r="B946" s="31">
        <v>26.020900000000001</v>
      </c>
      <c r="C946" s="32" t="s">
        <v>11462</v>
      </c>
      <c r="D946" s="31" t="s">
        <v>11441</v>
      </c>
      <c r="E946" s="40" t="s">
        <v>11463</v>
      </c>
      <c r="F946" s="38" t="s">
        <v>9009</v>
      </c>
      <c r="G946" s="34" t="s">
        <v>9442</v>
      </c>
      <c r="I946" s="44" t="s">
        <v>11447</v>
      </c>
      <c r="J946" s="36" t="s">
        <v>754</v>
      </c>
    </row>
    <row r="947" spans="1:10" x14ac:dyDescent="0.25">
      <c r="A947" s="31" t="s">
        <v>755</v>
      </c>
      <c r="B947" s="31">
        <v>26.021000000000001</v>
      </c>
      <c r="C947" s="32" t="s">
        <v>11464</v>
      </c>
      <c r="D947" s="31" t="s">
        <v>11441</v>
      </c>
      <c r="E947" s="40" t="s">
        <v>11465</v>
      </c>
      <c r="F947" s="38" t="s">
        <v>9009</v>
      </c>
      <c r="G947" s="34" t="s">
        <v>9442</v>
      </c>
      <c r="I947" s="44" t="s">
        <v>11447</v>
      </c>
      <c r="J947" s="36" t="s">
        <v>755</v>
      </c>
    </row>
    <row r="948" spans="1:10" x14ac:dyDescent="0.25">
      <c r="A948" s="31" t="s">
        <v>756</v>
      </c>
      <c r="B948" s="31">
        <v>26.029900000000001</v>
      </c>
      <c r="C948" s="32" t="s">
        <v>11466</v>
      </c>
      <c r="D948" s="31" t="s">
        <v>11441</v>
      </c>
      <c r="E948" s="40" t="s">
        <v>11467</v>
      </c>
      <c r="F948" s="38" t="s">
        <v>9009</v>
      </c>
      <c r="G948" s="34" t="s">
        <v>9442</v>
      </c>
      <c r="I948" s="44" t="s">
        <v>11447</v>
      </c>
      <c r="J948" s="36" t="s">
        <v>756</v>
      </c>
    </row>
    <row r="949" spans="1:10" x14ac:dyDescent="0.25">
      <c r="A949" s="31" t="s">
        <v>757</v>
      </c>
      <c r="B949" s="31">
        <v>26.03</v>
      </c>
      <c r="C949" s="32" t="s">
        <v>11468</v>
      </c>
      <c r="D949" s="31" t="s">
        <v>11441</v>
      </c>
      <c r="E949" s="40" t="s">
        <v>9443</v>
      </c>
      <c r="F949" s="38" t="s">
        <v>9009</v>
      </c>
      <c r="G949" s="34" t="s">
        <v>9443</v>
      </c>
      <c r="H949" s="34" t="s">
        <v>9443</v>
      </c>
      <c r="I949" s="44" t="s">
        <v>11468</v>
      </c>
      <c r="J949" s="36" t="s">
        <v>757</v>
      </c>
    </row>
    <row r="950" spans="1:10" x14ac:dyDescent="0.25">
      <c r="A950" s="31" t="s">
        <v>757</v>
      </c>
      <c r="B950" s="31">
        <v>26.030100000000001</v>
      </c>
      <c r="C950" s="32" t="s">
        <v>11469</v>
      </c>
      <c r="D950" s="31" t="s">
        <v>11441</v>
      </c>
      <c r="E950" s="40" t="s">
        <v>11470</v>
      </c>
      <c r="F950" s="38" t="s">
        <v>9009</v>
      </c>
      <c r="G950" s="34" t="s">
        <v>9443</v>
      </c>
      <c r="I950" s="44" t="s">
        <v>11468</v>
      </c>
      <c r="J950" s="36" t="s">
        <v>757</v>
      </c>
    </row>
    <row r="951" spans="1:10" x14ac:dyDescent="0.25">
      <c r="A951" s="31" t="s">
        <v>758</v>
      </c>
      <c r="B951" s="31">
        <v>26.0305</v>
      </c>
      <c r="C951" s="32" t="s">
        <v>11471</v>
      </c>
      <c r="D951" s="31" t="s">
        <v>11441</v>
      </c>
      <c r="E951" s="40" t="s">
        <v>11472</v>
      </c>
      <c r="F951" s="38" t="s">
        <v>9009</v>
      </c>
      <c r="G951" s="34" t="s">
        <v>9443</v>
      </c>
      <c r="I951" s="44" t="s">
        <v>11468</v>
      </c>
      <c r="J951" s="36" t="s">
        <v>758</v>
      </c>
    </row>
    <row r="952" spans="1:10" x14ac:dyDescent="0.25">
      <c r="A952" s="31" t="s">
        <v>759</v>
      </c>
      <c r="B952" s="31">
        <v>26.0307</v>
      </c>
      <c r="C952" s="32" t="s">
        <v>11473</v>
      </c>
      <c r="D952" s="31" t="s">
        <v>11441</v>
      </c>
      <c r="E952" s="40" t="s">
        <v>11474</v>
      </c>
      <c r="F952" s="38" t="s">
        <v>9009</v>
      </c>
      <c r="G952" s="34" t="s">
        <v>9443</v>
      </c>
      <c r="I952" s="44" t="s">
        <v>11468</v>
      </c>
      <c r="J952" s="36" t="s">
        <v>759</v>
      </c>
    </row>
    <row r="953" spans="1:10" x14ac:dyDescent="0.25">
      <c r="A953" s="31" t="s">
        <v>760</v>
      </c>
      <c r="B953" s="31">
        <v>26.030799999999999</v>
      </c>
      <c r="C953" s="32" t="s">
        <v>11475</v>
      </c>
      <c r="D953" s="31" t="s">
        <v>11441</v>
      </c>
      <c r="E953" s="40" t="s">
        <v>11476</v>
      </c>
      <c r="F953" s="38" t="s">
        <v>9009</v>
      </c>
      <c r="G953" s="34" t="s">
        <v>9443</v>
      </c>
      <c r="I953" s="44" t="s">
        <v>11468</v>
      </c>
      <c r="J953" s="36" t="s">
        <v>760</v>
      </c>
    </row>
    <row r="954" spans="1:10" x14ac:dyDescent="0.25">
      <c r="A954" s="31" t="s">
        <v>761</v>
      </c>
      <c r="B954" s="31">
        <v>26.039899999999999</v>
      </c>
      <c r="C954" s="32" t="s">
        <v>11477</v>
      </c>
      <c r="D954" s="31" t="s">
        <v>11441</v>
      </c>
      <c r="E954" s="40" t="s">
        <v>11478</v>
      </c>
      <c r="F954" s="38" t="s">
        <v>9009</v>
      </c>
      <c r="G954" s="34" t="s">
        <v>9443</v>
      </c>
      <c r="I954" s="44" t="s">
        <v>11468</v>
      </c>
      <c r="J954" s="36" t="s">
        <v>761</v>
      </c>
    </row>
    <row r="955" spans="1:10" x14ac:dyDescent="0.25">
      <c r="A955" s="31" t="s">
        <v>762</v>
      </c>
      <c r="B955" s="31">
        <v>26.04</v>
      </c>
      <c r="C955" s="32" t="s">
        <v>11479</v>
      </c>
      <c r="D955" s="31" t="s">
        <v>11441</v>
      </c>
      <c r="E955" s="40" t="s">
        <v>9444</v>
      </c>
      <c r="F955" s="38" t="s">
        <v>9009</v>
      </c>
      <c r="G955" s="34" t="s">
        <v>9444</v>
      </c>
      <c r="H955" s="34" t="s">
        <v>9444</v>
      </c>
      <c r="I955" s="44" t="s">
        <v>11479</v>
      </c>
      <c r="J955" s="36" t="s">
        <v>762</v>
      </c>
    </row>
    <row r="956" spans="1:10" x14ac:dyDescent="0.25">
      <c r="A956" s="31" t="s">
        <v>763</v>
      </c>
      <c r="B956" s="31">
        <v>26.040099999999999</v>
      </c>
      <c r="C956" s="32" t="s">
        <v>11480</v>
      </c>
      <c r="D956" s="31" t="s">
        <v>11441</v>
      </c>
      <c r="E956" s="40" t="s">
        <v>11481</v>
      </c>
      <c r="F956" s="38" t="s">
        <v>9009</v>
      </c>
      <c r="G956" s="34" t="s">
        <v>9444</v>
      </c>
      <c r="I956" s="44" t="s">
        <v>11479</v>
      </c>
      <c r="J956" s="36" t="s">
        <v>763</v>
      </c>
    </row>
    <row r="957" spans="1:10" x14ac:dyDescent="0.25">
      <c r="A957" s="31" t="s">
        <v>764</v>
      </c>
      <c r="B957" s="31">
        <v>26.040299999999998</v>
      </c>
      <c r="C957" s="32" t="s">
        <v>11482</v>
      </c>
      <c r="D957" s="31" t="s">
        <v>11441</v>
      </c>
      <c r="E957" s="40" t="s">
        <v>11483</v>
      </c>
      <c r="F957" s="38" t="s">
        <v>9009</v>
      </c>
      <c r="G957" s="34" t="s">
        <v>9444</v>
      </c>
      <c r="I957" s="44" t="s">
        <v>11479</v>
      </c>
      <c r="J957" s="36" t="s">
        <v>764</v>
      </c>
    </row>
    <row r="958" spans="1:10" x14ac:dyDescent="0.25">
      <c r="A958" s="31" t="s">
        <v>765</v>
      </c>
      <c r="B958" s="31">
        <v>26.040400000000002</v>
      </c>
      <c r="C958" s="32" t="s">
        <v>11484</v>
      </c>
      <c r="D958" s="31" t="s">
        <v>11441</v>
      </c>
      <c r="E958" s="40" t="s">
        <v>11485</v>
      </c>
      <c r="F958" s="38" t="s">
        <v>9009</v>
      </c>
      <c r="G958" s="34" t="s">
        <v>9444</v>
      </c>
      <c r="I958" s="44" t="s">
        <v>11479</v>
      </c>
      <c r="J958" s="36" t="s">
        <v>765</v>
      </c>
    </row>
    <row r="959" spans="1:10" x14ac:dyDescent="0.25">
      <c r="A959" s="31" t="s">
        <v>767</v>
      </c>
      <c r="B959" s="31">
        <v>26.040600000000001</v>
      </c>
      <c r="C959" s="32" t="s">
        <v>11486</v>
      </c>
      <c r="D959" s="31" t="s">
        <v>11441</v>
      </c>
      <c r="E959" s="40" t="s">
        <v>11487</v>
      </c>
      <c r="F959" s="38" t="s">
        <v>9009</v>
      </c>
      <c r="G959" s="34" t="s">
        <v>9444</v>
      </c>
      <c r="I959" s="44" t="s">
        <v>11479</v>
      </c>
      <c r="J959" s="36" t="s">
        <v>767</v>
      </c>
    </row>
    <row r="960" spans="1:10" x14ac:dyDescent="0.25">
      <c r="A960" s="31" t="s">
        <v>768</v>
      </c>
      <c r="B960" s="31">
        <v>26.040700000000001</v>
      </c>
      <c r="C960" s="32" t="s">
        <v>11488</v>
      </c>
      <c r="D960" s="31" t="s">
        <v>11441</v>
      </c>
      <c r="E960" s="40" t="s">
        <v>11489</v>
      </c>
      <c r="F960" s="38" t="s">
        <v>9009</v>
      </c>
      <c r="G960" s="34" t="s">
        <v>9444</v>
      </c>
      <c r="I960" s="44" t="s">
        <v>11479</v>
      </c>
      <c r="J960" s="36" t="s">
        <v>768</v>
      </c>
    </row>
    <row r="961" spans="1:10" x14ac:dyDescent="0.25">
      <c r="A961" s="31" t="s">
        <v>769</v>
      </c>
      <c r="B961" s="31">
        <v>26.049900000000001</v>
      </c>
      <c r="C961" s="32" t="s">
        <v>11490</v>
      </c>
      <c r="D961" s="31" t="s">
        <v>11441</v>
      </c>
      <c r="E961" s="40" t="s">
        <v>11491</v>
      </c>
      <c r="F961" s="38" t="s">
        <v>9009</v>
      </c>
      <c r="G961" s="34" t="s">
        <v>9444</v>
      </c>
      <c r="I961" s="44" t="s">
        <v>11479</v>
      </c>
      <c r="J961" s="36" t="s">
        <v>769</v>
      </c>
    </row>
    <row r="962" spans="1:10" x14ac:dyDescent="0.25">
      <c r="A962" s="31" t="s">
        <v>770</v>
      </c>
      <c r="B962" s="31">
        <v>26.05</v>
      </c>
      <c r="C962" s="32" t="s">
        <v>11492</v>
      </c>
      <c r="D962" s="31" t="s">
        <v>11441</v>
      </c>
      <c r="E962" s="40" t="s">
        <v>9445</v>
      </c>
      <c r="F962" s="38" t="s">
        <v>9009</v>
      </c>
      <c r="G962" s="34" t="s">
        <v>9445</v>
      </c>
      <c r="H962" s="34" t="s">
        <v>9445</v>
      </c>
      <c r="I962" s="44" t="s">
        <v>11492</v>
      </c>
      <c r="J962" s="36" t="s">
        <v>770</v>
      </c>
    </row>
    <row r="963" spans="1:10" x14ac:dyDescent="0.25">
      <c r="A963" s="31" t="s">
        <v>771</v>
      </c>
      <c r="B963" s="31">
        <v>26.0502</v>
      </c>
      <c r="C963" s="32" t="s">
        <v>11493</v>
      </c>
      <c r="D963" s="31" t="s">
        <v>11441</v>
      </c>
      <c r="E963" s="40" t="s">
        <v>11494</v>
      </c>
      <c r="F963" s="38" t="s">
        <v>9009</v>
      </c>
      <c r="G963" s="34" t="s">
        <v>9445</v>
      </c>
      <c r="I963" s="44" t="s">
        <v>11492</v>
      </c>
      <c r="J963" s="36" t="s">
        <v>771</v>
      </c>
    </row>
    <row r="964" spans="1:10" x14ac:dyDescent="0.25">
      <c r="A964" s="31" t="s">
        <v>772</v>
      </c>
      <c r="B964" s="31">
        <v>26.0503</v>
      </c>
      <c r="C964" s="32" t="s">
        <v>11495</v>
      </c>
      <c r="D964" s="31" t="s">
        <v>11441</v>
      </c>
      <c r="E964" s="40" t="s">
        <v>11496</v>
      </c>
      <c r="F964" s="38" t="s">
        <v>9009</v>
      </c>
      <c r="G964" s="34" t="s">
        <v>9445</v>
      </c>
      <c r="I964" s="44" t="s">
        <v>11492</v>
      </c>
      <c r="J964" s="36" t="s">
        <v>772</v>
      </c>
    </row>
    <row r="965" spans="1:10" x14ac:dyDescent="0.25">
      <c r="A965" s="31" t="s">
        <v>773</v>
      </c>
      <c r="B965" s="31">
        <v>26.0504</v>
      </c>
      <c r="C965" s="32" t="s">
        <v>11497</v>
      </c>
      <c r="D965" s="31" t="s">
        <v>11441</v>
      </c>
      <c r="E965" s="40" t="s">
        <v>11498</v>
      </c>
      <c r="F965" s="38" t="s">
        <v>9009</v>
      </c>
      <c r="G965" s="34" t="s">
        <v>9445</v>
      </c>
      <c r="I965" s="44" t="s">
        <v>11492</v>
      </c>
      <c r="J965" s="36" t="s">
        <v>773</v>
      </c>
    </row>
    <row r="966" spans="1:10" x14ac:dyDescent="0.25">
      <c r="A966" s="31" t="s">
        <v>774</v>
      </c>
      <c r="B966" s="31">
        <v>26.0505</v>
      </c>
      <c r="C966" s="32" t="s">
        <v>11499</v>
      </c>
      <c r="D966" s="31" t="s">
        <v>11441</v>
      </c>
      <c r="E966" s="40" t="s">
        <v>11500</v>
      </c>
      <c r="F966" s="38" t="s">
        <v>9009</v>
      </c>
      <c r="G966" s="34" t="s">
        <v>9445</v>
      </c>
      <c r="I966" s="44" t="s">
        <v>11492</v>
      </c>
      <c r="J966" s="36" t="s">
        <v>774</v>
      </c>
    </row>
    <row r="967" spans="1:10" x14ac:dyDescent="0.25">
      <c r="A967" s="31" t="s">
        <v>775</v>
      </c>
      <c r="B967" s="31">
        <v>26.050599999999999</v>
      </c>
      <c r="C967" s="32" t="s">
        <v>11501</v>
      </c>
      <c r="D967" s="31" t="s">
        <v>11441</v>
      </c>
      <c r="E967" s="40" t="s">
        <v>11502</v>
      </c>
      <c r="F967" s="38" t="s">
        <v>9009</v>
      </c>
      <c r="G967" s="34" t="s">
        <v>9445</v>
      </c>
      <c r="I967" s="44" t="s">
        <v>11492</v>
      </c>
      <c r="J967" s="36" t="s">
        <v>775</v>
      </c>
    </row>
    <row r="968" spans="1:10" x14ac:dyDescent="0.25">
      <c r="A968" s="31" t="s">
        <v>776</v>
      </c>
      <c r="B968" s="31">
        <v>26.050699999999999</v>
      </c>
      <c r="C968" s="32" t="s">
        <v>11503</v>
      </c>
      <c r="D968" s="31" t="s">
        <v>11441</v>
      </c>
      <c r="E968" s="40" t="s">
        <v>11504</v>
      </c>
      <c r="F968" s="38" t="s">
        <v>9009</v>
      </c>
      <c r="G968" s="34" t="s">
        <v>9445</v>
      </c>
      <c r="I968" s="44" t="s">
        <v>11492</v>
      </c>
      <c r="J968" s="36" t="s">
        <v>776</v>
      </c>
    </row>
    <row r="969" spans="1:10" x14ac:dyDescent="0.25">
      <c r="A969" s="31" t="s">
        <v>777</v>
      </c>
      <c r="B969" s="31">
        <v>26.050799999999999</v>
      </c>
      <c r="C969" s="32" t="s">
        <v>11505</v>
      </c>
      <c r="D969" s="31" t="s">
        <v>11441</v>
      </c>
      <c r="E969" s="40" t="s">
        <v>11506</v>
      </c>
      <c r="F969" s="38" t="s">
        <v>9009</v>
      </c>
      <c r="G969" s="34" t="s">
        <v>9445</v>
      </c>
      <c r="I969" s="44" t="s">
        <v>11492</v>
      </c>
      <c r="J969" s="36" t="s">
        <v>777</v>
      </c>
    </row>
    <row r="970" spans="1:10" x14ac:dyDescent="0.25">
      <c r="A970" s="31" t="s">
        <v>1949</v>
      </c>
      <c r="B970" s="31">
        <v>26.050899999999999</v>
      </c>
      <c r="C970" s="32" t="s">
        <v>11507</v>
      </c>
      <c r="D970" s="31" t="s">
        <v>11441</v>
      </c>
      <c r="E970" s="40" t="s">
        <v>11508</v>
      </c>
      <c r="F970" s="38" t="s">
        <v>9009</v>
      </c>
      <c r="G970" s="34" t="s">
        <v>9445</v>
      </c>
      <c r="I970" s="44" t="s">
        <v>11492</v>
      </c>
      <c r="J970" s="36" t="s">
        <v>1949</v>
      </c>
    </row>
    <row r="971" spans="1:10" x14ac:dyDescent="0.25">
      <c r="A971" s="31" t="s">
        <v>778</v>
      </c>
      <c r="B971" s="31">
        <v>26.059899999999999</v>
      </c>
      <c r="C971" s="32" t="s">
        <v>11509</v>
      </c>
      <c r="D971" s="31" t="s">
        <v>11441</v>
      </c>
      <c r="E971" s="40" t="s">
        <v>11510</v>
      </c>
      <c r="F971" s="38" t="s">
        <v>9009</v>
      </c>
      <c r="G971" s="34" t="s">
        <v>9445</v>
      </c>
      <c r="I971" s="44" t="s">
        <v>11492</v>
      </c>
      <c r="J971" s="36" t="s">
        <v>778</v>
      </c>
    </row>
    <row r="972" spans="1:10" x14ac:dyDescent="0.25">
      <c r="A972" s="31" t="s">
        <v>779</v>
      </c>
      <c r="B972" s="31">
        <v>26.07</v>
      </c>
      <c r="C972" s="32" t="s">
        <v>11511</v>
      </c>
      <c r="D972" s="31" t="s">
        <v>11441</v>
      </c>
      <c r="E972" s="40" t="s">
        <v>9446</v>
      </c>
      <c r="F972" s="38" t="s">
        <v>9009</v>
      </c>
      <c r="G972" s="34" t="s">
        <v>9446</v>
      </c>
      <c r="H972" s="34" t="s">
        <v>9446</v>
      </c>
      <c r="I972" s="44" t="s">
        <v>11511</v>
      </c>
      <c r="J972" s="36" t="s">
        <v>779</v>
      </c>
    </row>
    <row r="973" spans="1:10" x14ac:dyDescent="0.25">
      <c r="A973" s="31" t="s">
        <v>779</v>
      </c>
      <c r="B973" s="31">
        <v>26.0701</v>
      </c>
      <c r="C973" s="32" t="s">
        <v>11512</v>
      </c>
      <c r="D973" s="31" t="s">
        <v>11441</v>
      </c>
      <c r="E973" s="40" t="s">
        <v>11513</v>
      </c>
      <c r="F973" s="38" t="s">
        <v>9009</v>
      </c>
      <c r="G973" s="34" t="s">
        <v>9446</v>
      </c>
      <c r="I973" s="44" t="s">
        <v>11511</v>
      </c>
      <c r="J973" s="36" t="s">
        <v>779</v>
      </c>
    </row>
    <row r="974" spans="1:10" x14ac:dyDescent="0.25">
      <c r="A974" s="31" t="s">
        <v>780</v>
      </c>
      <c r="B974" s="31">
        <v>26.0702</v>
      </c>
      <c r="C974" s="32" t="s">
        <v>11514</v>
      </c>
      <c r="D974" s="31" t="s">
        <v>11441</v>
      </c>
      <c r="E974" s="40" t="s">
        <v>11515</v>
      </c>
      <c r="F974" s="38" t="s">
        <v>9009</v>
      </c>
      <c r="G974" s="34" t="s">
        <v>9446</v>
      </c>
      <c r="I974" s="44" t="s">
        <v>11511</v>
      </c>
      <c r="J974" s="36" t="s">
        <v>780</v>
      </c>
    </row>
    <row r="975" spans="1:10" x14ac:dyDescent="0.25">
      <c r="A975" s="31" t="s">
        <v>781</v>
      </c>
      <c r="B975" s="31">
        <v>26.070699999999999</v>
      </c>
      <c r="C975" s="32" t="s">
        <v>11516</v>
      </c>
      <c r="D975" s="31" t="s">
        <v>11441</v>
      </c>
      <c r="E975" s="40" t="s">
        <v>11517</v>
      </c>
      <c r="F975" s="38" t="s">
        <v>9009</v>
      </c>
      <c r="G975" s="34" t="s">
        <v>9446</v>
      </c>
      <c r="I975" s="44" t="s">
        <v>11511</v>
      </c>
      <c r="J975" s="36" t="s">
        <v>781</v>
      </c>
    </row>
    <row r="976" spans="1:10" x14ac:dyDescent="0.25">
      <c r="A976" s="31" t="s">
        <v>782</v>
      </c>
      <c r="B976" s="31">
        <v>26.070799999999998</v>
      </c>
      <c r="C976" s="32" t="s">
        <v>11518</v>
      </c>
      <c r="D976" s="31" t="s">
        <v>11441</v>
      </c>
      <c r="E976" s="40" t="s">
        <v>11519</v>
      </c>
      <c r="F976" s="38" t="s">
        <v>9009</v>
      </c>
      <c r="G976" s="34" t="s">
        <v>9446</v>
      </c>
      <c r="I976" s="44" t="s">
        <v>11511</v>
      </c>
      <c r="J976" s="36" t="s">
        <v>782</v>
      </c>
    </row>
    <row r="977" spans="1:10" x14ac:dyDescent="0.25">
      <c r="A977" s="31" t="s">
        <v>783</v>
      </c>
      <c r="B977" s="31">
        <v>26.070900000000002</v>
      </c>
      <c r="C977" s="32" t="s">
        <v>11520</v>
      </c>
      <c r="D977" s="31" t="s">
        <v>11441</v>
      </c>
      <c r="E977" s="40" t="s">
        <v>11521</v>
      </c>
      <c r="F977" s="38" t="s">
        <v>9009</v>
      </c>
      <c r="G977" s="34" t="s">
        <v>9446</v>
      </c>
      <c r="I977" s="44" t="s">
        <v>11511</v>
      </c>
      <c r="J977" s="36" t="s">
        <v>783</v>
      </c>
    </row>
    <row r="978" spans="1:10" x14ac:dyDescent="0.25">
      <c r="A978" s="31" t="s">
        <v>784</v>
      </c>
      <c r="B978" s="31">
        <v>26.079899999999999</v>
      </c>
      <c r="C978" s="32" t="s">
        <v>11522</v>
      </c>
      <c r="D978" s="31" t="s">
        <v>11441</v>
      </c>
      <c r="E978" s="40" t="s">
        <v>11523</v>
      </c>
      <c r="F978" s="38" t="s">
        <v>9009</v>
      </c>
      <c r="G978" s="34" t="s">
        <v>9446</v>
      </c>
      <c r="I978" s="44" t="s">
        <v>11511</v>
      </c>
      <c r="J978" s="36" t="s">
        <v>784</v>
      </c>
    </row>
    <row r="979" spans="1:10" x14ac:dyDescent="0.25">
      <c r="A979" s="31" t="s">
        <v>785</v>
      </c>
      <c r="B979" s="31">
        <v>26.08</v>
      </c>
      <c r="C979" s="32" t="s">
        <v>11524</v>
      </c>
      <c r="D979" s="31" t="s">
        <v>11441</v>
      </c>
      <c r="E979" s="40" t="s">
        <v>9447</v>
      </c>
      <c r="F979" s="38" t="s">
        <v>9009</v>
      </c>
      <c r="G979" s="34" t="s">
        <v>9447</v>
      </c>
      <c r="H979" s="34" t="s">
        <v>9447</v>
      </c>
      <c r="I979" s="44" t="s">
        <v>11524</v>
      </c>
      <c r="J979" s="36" t="s">
        <v>785</v>
      </c>
    </row>
    <row r="980" spans="1:10" x14ac:dyDescent="0.25">
      <c r="A980" s="31" t="s">
        <v>786</v>
      </c>
      <c r="B980" s="31">
        <v>26.080100000000002</v>
      </c>
      <c r="C980" s="32" t="s">
        <v>11525</v>
      </c>
      <c r="D980" s="31" t="s">
        <v>11441</v>
      </c>
      <c r="E980" s="40" t="s">
        <v>11526</v>
      </c>
      <c r="F980" s="38" t="s">
        <v>9009</v>
      </c>
      <c r="G980" s="34" t="s">
        <v>9447</v>
      </c>
      <c r="I980" s="44" t="s">
        <v>11524</v>
      </c>
      <c r="J980" s="36" t="s">
        <v>786</v>
      </c>
    </row>
    <row r="981" spans="1:10" x14ac:dyDescent="0.25">
      <c r="A981" s="31" t="s">
        <v>787</v>
      </c>
      <c r="B981" s="31">
        <v>26.080200000000001</v>
      </c>
      <c r="C981" s="32" t="s">
        <v>11527</v>
      </c>
      <c r="D981" s="31" t="s">
        <v>11441</v>
      </c>
      <c r="E981" s="40" t="s">
        <v>11528</v>
      </c>
      <c r="F981" s="38" t="s">
        <v>9009</v>
      </c>
      <c r="G981" s="34" t="s">
        <v>9447</v>
      </c>
      <c r="I981" s="44" t="s">
        <v>11524</v>
      </c>
      <c r="J981" s="36" t="s">
        <v>787</v>
      </c>
    </row>
    <row r="982" spans="1:10" x14ac:dyDescent="0.25">
      <c r="A982" s="31" t="s">
        <v>788</v>
      </c>
      <c r="B982" s="31">
        <v>26.080300000000001</v>
      </c>
      <c r="C982" s="32" t="s">
        <v>11529</v>
      </c>
      <c r="D982" s="31" t="s">
        <v>11441</v>
      </c>
      <c r="E982" s="40" t="s">
        <v>11530</v>
      </c>
      <c r="F982" s="38" t="s">
        <v>9009</v>
      </c>
      <c r="G982" s="34" t="s">
        <v>9447</v>
      </c>
      <c r="I982" s="44" t="s">
        <v>11524</v>
      </c>
      <c r="J982" s="36" t="s">
        <v>788</v>
      </c>
    </row>
    <row r="983" spans="1:10" x14ac:dyDescent="0.25">
      <c r="A983" s="31" t="s">
        <v>789</v>
      </c>
      <c r="B983" s="31">
        <v>26.080400000000001</v>
      </c>
      <c r="C983" s="32" t="s">
        <v>11531</v>
      </c>
      <c r="D983" s="31" t="s">
        <v>11441</v>
      </c>
      <c r="E983" s="40" t="s">
        <v>11532</v>
      </c>
      <c r="F983" s="38" t="s">
        <v>9009</v>
      </c>
      <c r="G983" s="34" t="s">
        <v>9447</v>
      </c>
      <c r="I983" s="44" t="s">
        <v>11524</v>
      </c>
      <c r="J983" s="36" t="s">
        <v>789</v>
      </c>
    </row>
    <row r="984" spans="1:10" x14ac:dyDescent="0.25">
      <c r="A984" s="31" t="s">
        <v>790</v>
      </c>
      <c r="B984" s="31">
        <v>26.080500000000001</v>
      </c>
      <c r="C984" s="32" t="s">
        <v>11533</v>
      </c>
      <c r="D984" s="31" t="s">
        <v>11441</v>
      </c>
      <c r="E984" s="40" t="s">
        <v>11534</v>
      </c>
      <c r="F984" s="38" t="s">
        <v>9009</v>
      </c>
      <c r="G984" s="34" t="s">
        <v>9447</v>
      </c>
      <c r="I984" s="44" t="s">
        <v>11524</v>
      </c>
      <c r="J984" s="36" t="s">
        <v>790</v>
      </c>
    </row>
    <row r="985" spans="1:10" x14ac:dyDescent="0.25">
      <c r="A985" s="31" t="s">
        <v>791</v>
      </c>
      <c r="B985" s="31">
        <v>26.0806</v>
      </c>
      <c r="C985" s="32" t="s">
        <v>11535</v>
      </c>
      <c r="D985" s="31" t="s">
        <v>11441</v>
      </c>
      <c r="E985" s="40" t="s">
        <v>11536</v>
      </c>
      <c r="F985" s="38" t="s">
        <v>9009</v>
      </c>
      <c r="G985" s="34" t="s">
        <v>9447</v>
      </c>
      <c r="I985" s="44" t="s">
        <v>11524</v>
      </c>
      <c r="J985" s="36" t="s">
        <v>791</v>
      </c>
    </row>
    <row r="986" spans="1:10" x14ac:dyDescent="0.25">
      <c r="A986" s="31" t="s">
        <v>792</v>
      </c>
      <c r="B986" s="31">
        <v>26.0807</v>
      </c>
      <c r="C986" s="32" t="s">
        <v>11537</v>
      </c>
      <c r="D986" s="31" t="s">
        <v>11441</v>
      </c>
      <c r="E986" s="40" t="s">
        <v>11538</v>
      </c>
      <c r="F986" s="38" t="s">
        <v>9009</v>
      </c>
      <c r="G986" s="34" t="s">
        <v>9447</v>
      </c>
      <c r="I986" s="44" t="s">
        <v>11524</v>
      </c>
      <c r="J986" s="36" t="s">
        <v>792</v>
      </c>
    </row>
    <row r="987" spans="1:10" x14ac:dyDescent="0.25">
      <c r="A987" s="31" t="s">
        <v>793</v>
      </c>
      <c r="B987" s="31">
        <v>26.0899</v>
      </c>
      <c r="C987" s="32" t="s">
        <v>11539</v>
      </c>
      <c r="D987" s="31" t="s">
        <v>11441</v>
      </c>
      <c r="E987" s="40" t="s">
        <v>11540</v>
      </c>
      <c r="F987" s="38" t="s">
        <v>9009</v>
      </c>
      <c r="G987" s="34" t="s">
        <v>9447</v>
      </c>
      <c r="I987" s="44" t="s">
        <v>11524</v>
      </c>
      <c r="J987" s="36" t="s">
        <v>793</v>
      </c>
    </row>
    <row r="988" spans="1:10" x14ac:dyDescent="0.25">
      <c r="A988" s="31" t="s">
        <v>794</v>
      </c>
      <c r="B988" s="31">
        <v>26.09</v>
      </c>
      <c r="C988" s="32" t="s">
        <v>11541</v>
      </c>
      <c r="D988" s="31" t="s">
        <v>11441</v>
      </c>
      <c r="E988" s="40" t="s">
        <v>9448</v>
      </c>
      <c r="F988" s="38" t="s">
        <v>9009</v>
      </c>
      <c r="G988" s="34" t="s">
        <v>9448</v>
      </c>
      <c r="H988" s="34" t="s">
        <v>9448</v>
      </c>
      <c r="I988" s="44" t="s">
        <v>11541</v>
      </c>
      <c r="J988" s="36" t="s">
        <v>794</v>
      </c>
    </row>
    <row r="989" spans="1:10" x14ac:dyDescent="0.25">
      <c r="A989" s="31" t="s">
        <v>795</v>
      </c>
      <c r="B989" s="31">
        <v>26.0901</v>
      </c>
      <c r="C989" s="32" t="s">
        <v>11542</v>
      </c>
      <c r="D989" s="31" t="s">
        <v>11441</v>
      </c>
      <c r="E989" s="40" t="s">
        <v>11543</v>
      </c>
      <c r="F989" s="38" t="s">
        <v>9009</v>
      </c>
      <c r="G989" s="34" t="s">
        <v>9448</v>
      </c>
      <c r="I989" s="44" t="s">
        <v>11541</v>
      </c>
      <c r="J989" s="36" t="s">
        <v>795</v>
      </c>
    </row>
    <row r="990" spans="1:10" x14ac:dyDescent="0.25">
      <c r="A990" s="31" t="s">
        <v>796</v>
      </c>
      <c r="B990" s="31">
        <v>26.090199999999999</v>
      </c>
      <c r="C990" s="32" t="s">
        <v>11544</v>
      </c>
      <c r="D990" s="31" t="s">
        <v>11441</v>
      </c>
      <c r="E990" s="40" t="s">
        <v>11545</v>
      </c>
      <c r="F990" s="38" t="s">
        <v>9009</v>
      </c>
      <c r="G990" s="34" t="s">
        <v>9448</v>
      </c>
      <c r="I990" s="44" t="s">
        <v>11541</v>
      </c>
      <c r="J990" s="36" t="s">
        <v>796</v>
      </c>
    </row>
    <row r="991" spans="1:10" x14ac:dyDescent="0.25">
      <c r="A991" s="31" t="s">
        <v>797</v>
      </c>
      <c r="B991" s="31">
        <v>26.090299999999999</v>
      </c>
      <c r="C991" s="32" t="s">
        <v>11546</v>
      </c>
      <c r="D991" s="31" t="s">
        <v>11441</v>
      </c>
      <c r="E991" s="40" t="s">
        <v>11547</v>
      </c>
      <c r="F991" s="38" t="s">
        <v>9009</v>
      </c>
      <c r="G991" s="34" t="s">
        <v>9448</v>
      </c>
      <c r="I991" s="44" t="s">
        <v>11541</v>
      </c>
      <c r="J991" s="36" t="s">
        <v>797</v>
      </c>
    </row>
    <row r="992" spans="1:10" x14ac:dyDescent="0.25">
      <c r="A992" s="31" t="s">
        <v>798</v>
      </c>
      <c r="B992" s="31">
        <v>26.090399999999999</v>
      </c>
      <c r="C992" s="32" t="s">
        <v>11548</v>
      </c>
      <c r="D992" s="31" t="s">
        <v>11441</v>
      </c>
      <c r="E992" s="40" t="s">
        <v>11549</v>
      </c>
      <c r="F992" s="38" t="s">
        <v>9009</v>
      </c>
      <c r="G992" s="34" t="s">
        <v>9448</v>
      </c>
      <c r="I992" s="44" t="s">
        <v>11541</v>
      </c>
      <c r="J992" s="36" t="s">
        <v>798</v>
      </c>
    </row>
    <row r="993" spans="1:10" x14ac:dyDescent="0.25">
      <c r="A993" s="31" t="s">
        <v>799</v>
      </c>
      <c r="B993" s="31">
        <v>26.090499999999999</v>
      </c>
      <c r="C993" s="32" t="s">
        <v>11550</v>
      </c>
      <c r="D993" s="31" t="s">
        <v>11441</v>
      </c>
      <c r="E993" s="40" t="s">
        <v>11551</v>
      </c>
      <c r="F993" s="38" t="s">
        <v>9009</v>
      </c>
      <c r="G993" s="34" t="s">
        <v>9448</v>
      </c>
      <c r="I993" s="44" t="s">
        <v>11541</v>
      </c>
      <c r="J993" s="36" t="s">
        <v>799</v>
      </c>
    </row>
    <row r="994" spans="1:10" x14ac:dyDescent="0.25">
      <c r="A994" s="31" t="s">
        <v>800</v>
      </c>
      <c r="B994" s="31">
        <v>26.090699999999998</v>
      </c>
      <c r="C994" s="32" t="s">
        <v>11552</v>
      </c>
      <c r="D994" s="31" t="s">
        <v>11441</v>
      </c>
      <c r="E994" s="40" t="s">
        <v>11553</v>
      </c>
      <c r="F994" s="38" t="s">
        <v>9009</v>
      </c>
      <c r="G994" s="34" t="s">
        <v>9448</v>
      </c>
      <c r="I994" s="44" t="s">
        <v>11541</v>
      </c>
      <c r="J994" s="36" t="s">
        <v>800</v>
      </c>
    </row>
    <row r="995" spans="1:10" x14ac:dyDescent="0.25">
      <c r="A995" s="31" t="s">
        <v>1950</v>
      </c>
      <c r="B995" s="31">
        <v>26.090800000000002</v>
      </c>
      <c r="C995" s="32" t="s">
        <v>11554</v>
      </c>
      <c r="D995" s="31" t="s">
        <v>11441</v>
      </c>
      <c r="E995" s="40" t="s">
        <v>11555</v>
      </c>
      <c r="F995" s="38" t="s">
        <v>9009</v>
      </c>
      <c r="G995" s="34" t="s">
        <v>9448</v>
      </c>
      <c r="I995" s="44" t="s">
        <v>11541</v>
      </c>
      <c r="J995" s="36" t="s">
        <v>1950</v>
      </c>
    </row>
    <row r="996" spans="1:10" x14ac:dyDescent="0.25">
      <c r="A996" s="31" t="s">
        <v>801</v>
      </c>
      <c r="B996" s="31">
        <v>26.090900000000001</v>
      </c>
      <c r="C996" s="32" t="s">
        <v>11556</v>
      </c>
      <c r="D996" s="31" t="s">
        <v>11441</v>
      </c>
      <c r="E996" s="40" t="s">
        <v>11557</v>
      </c>
      <c r="F996" s="38" t="s">
        <v>9009</v>
      </c>
      <c r="G996" s="34" t="s">
        <v>9448</v>
      </c>
      <c r="I996" s="44" t="s">
        <v>11541</v>
      </c>
      <c r="J996" s="36" t="s">
        <v>801</v>
      </c>
    </row>
    <row r="997" spans="1:10" x14ac:dyDescent="0.25">
      <c r="A997" s="31" t="s">
        <v>802</v>
      </c>
      <c r="B997" s="31">
        <v>26.091000000000001</v>
      </c>
      <c r="C997" s="32" t="s">
        <v>11558</v>
      </c>
      <c r="D997" s="31" t="s">
        <v>11441</v>
      </c>
      <c r="E997" s="40" t="s">
        <v>11559</v>
      </c>
      <c r="F997" s="38" t="s">
        <v>9009</v>
      </c>
      <c r="G997" s="34" t="s">
        <v>9448</v>
      </c>
      <c r="I997" s="44" t="s">
        <v>11541</v>
      </c>
      <c r="J997" s="36" t="s">
        <v>802</v>
      </c>
    </row>
    <row r="998" spans="1:10" x14ac:dyDescent="0.25">
      <c r="A998" s="31" t="s">
        <v>803</v>
      </c>
      <c r="B998" s="31">
        <v>26.091100000000001</v>
      </c>
      <c r="C998" s="32" t="s">
        <v>11560</v>
      </c>
      <c r="D998" s="31" t="s">
        <v>11441</v>
      </c>
      <c r="E998" s="40" t="s">
        <v>11561</v>
      </c>
      <c r="F998" s="38" t="s">
        <v>9009</v>
      </c>
      <c r="G998" s="34" t="s">
        <v>9448</v>
      </c>
      <c r="I998" s="44" t="s">
        <v>11541</v>
      </c>
      <c r="J998" s="36" t="s">
        <v>803</v>
      </c>
    </row>
    <row r="999" spans="1:10" x14ac:dyDescent="0.25">
      <c r="A999" s="31" t="s">
        <v>804</v>
      </c>
      <c r="B999" s="31">
        <v>26.091200000000001</v>
      </c>
      <c r="C999" s="32" t="s">
        <v>11562</v>
      </c>
      <c r="D999" s="31" t="s">
        <v>11441</v>
      </c>
      <c r="E999" s="40" t="s">
        <v>11563</v>
      </c>
      <c r="F999" s="38" t="s">
        <v>9009</v>
      </c>
      <c r="G999" s="34" t="s">
        <v>9448</v>
      </c>
      <c r="I999" s="44" t="s">
        <v>11541</v>
      </c>
      <c r="J999" s="36" t="s">
        <v>804</v>
      </c>
    </row>
    <row r="1000" spans="1:10" x14ac:dyDescent="0.25">
      <c r="A1000" s="31" t="s">
        <v>1951</v>
      </c>
      <c r="B1000" s="31">
        <v>26.0913</v>
      </c>
      <c r="C1000" s="32" t="s">
        <v>11564</v>
      </c>
      <c r="D1000" s="31" t="s">
        <v>11441</v>
      </c>
      <c r="E1000" s="40" t="s">
        <v>11565</v>
      </c>
      <c r="F1000" s="38" t="s">
        <v>9009</v>
      </c>
      <c r="G1000" s="34" t="s">
        <v>9448</v>
      </c>
      <c r="I1000" s="44" t="s">
        <v>11541</v>
      </c>
      <c r="J1000" s="36" t="s">
        <v>1951</v>
      </c>
    </row>
    <row r="1001" spans="1:10" x14ac:dyDescent="0.25">
      <c r="A1001" s="31" t="s">
        <v>805</v>
      </c>
      <c r="B1001" s="31">
        <v>26.099900000000002</v>
      </c>
      <c r="C1001" s="32" t="s">
        <v>11566</v>
      </c>
      <c r="D1001" s="31" t="s">
        <v>11441</v>
      </c>
      <c r="E1001" s="40" t="s">
        <v>11567</v>
      </c>
      <c r="F1001" s="38" t="s">
        <v>9009</v>
      </c>
      <c r="G1001" s="34" t="s">
        <v>9448</v>
      </c>
      <c r="I1001" s="44" t="s">
        <v>11541</v>
      </c>
      <c r="J1001" s="36" t="s">
        <v>805</v>
      </c>
    </row>
    <row r="1002" spans="1:10" x14ac:dyDescent="0.25">
      <c r="A1002" s="31" t="s">
        <v>806</v>
      </c>
      <c r="B1002" s="31">
        <v>26.1</v>
      </c>
      <c r="C1002" s="32" t="s">
        <v>11568</v>
      </c>
      <c r="D1002" s="31" t="s">
        <v>11441</v>
      </c>
      <c r="E1002" s="40" t="s">
        <v>9449</v>
      </c>
      <c r="F1002" s="38" t="s">
        <v>9009</v>
      </c>
      <c r="G1002" s="34" t="s">
        <v>9449</v>
      </c>
      <c r="H1002" s="34" t="s">
        <v>9449</v>
      </c>
      <c r="I1002" s="44" t="s">
        <v>11568</v>
      </c>
      <c r="J1002" s="36" t="s">
        <v>806</v>
      </c>
    </row>
    <row r="1003" spans="1:10" x14ac:dyDescent="0.25">
      <c r="A1003" s="31" t="s">
        <v>807</v>
      </c>
      <c r="B1003" s="31">
        <v>26.100100000000001</v>
      </c>
      <c r="C1003" s="32" t="s">
        <v>11569</v>
      </c>
      <c r="D1003" s="31" t="s">
        <v>11441</v>
      </c>
      <c r="E1003" s="40" t="s">
        <v>11570</v>
      </c>
      <c r="F1003" s="38" t="s">
        <v>9009</v>
      </c>
      <c r="G1003" s="34" t="s">
        <v>9449</v>
      </c>
      <c r="I1003" s="44" t="s">
        <v>11568</v>
      </c>
      <c r="J1003" s="36" t="s">
        <v>807</v>
      </c>
    </row>
    <row r="1004" spans="1:10" x14ac:dyDescent="0.25">
      <c r="A1004" s="31" t="s">
        <v>808</v>
      </c>
      <c r="B1004" s="31">
        <v>26.100200000000001</v>
      </c>
      <c r="C1004" s="32" t="s">
        <v>11571</v>
      </c>
      <c r="D1004" s="31" t="s">
        <v>11441</v>
      </c>
      <c r="E1004" s="40" t="s">
        <v>11572</v>
      </c>
      <c r="F1004" s="38" t="s">
        <v>9009</v>
      </c>
      <c r="G1004" s="34" t="s">
        <v>9449</v>
      </c>
      <c r="I1004" s="44" t="s">
        <v>11568</v>
      </c>
      <c r="J1004" s="36" t="s">
        <v>808</v>
      </c>
    </row>
    <row r="1005" spans="1:10" x14ac:dyDescent="0.25">
      <c r="A1005" s="31" t="s">
        <v>809</v>
      </c>
      <c r="B1005" s="31">
        <v>26.100300000000001</v>
      </c>
      <c r="C1005" s="32" t="s">
        <v>11573</v>
      </c>
      <c r="D1005" s="31" t="s">
        <v>11441</v>
      </c>
      <c r="E1005" s="40" t="s">
        <v>11574</v>
      </c>
      <c r="F1005" s="38" t="s">
        <v>9009</v>
      </c>
      <c r="G1005" s="34" t="s">
        <v>9449</v>
      </c>
      <c r="I1005" s="44" t="s">
        <v>11568</v>
      </c>
      <c r="J1005" s="36" t="s">
        <v>809</v>
      </c>
    </row>
    <row r="1006" spans="1:10" x14ac:dyDescent="0.25">
      <c r="A1006" s="31" t="s">
        <v>810</v>
      </c>
      <c r="B1006" s="31">
        <v>26.1004</v>
      </c>
      <c r="C1006" s="32" t="s">
        <v>11575</v>
      </c>
      <c r="D1006" s="31" t="s">
        <v>11441</v>
      </c>
      <c r="E1006" s="40" t="s">
        <v>11576</v>
      </c>
      <c r="F1006" s="38" t="s">
        <v>9009</v>
      </c>
      <c r="G1006" s="34" t="s">
        <v>9449</v>
      </c>
      <c r="I1006" s="44" t="s">
        <v>11568</v>
      </c>
      <c r="J1006" s="36" t="s">
        <v>810</v>
      </c>
    </row>
    <row r="1007" spans="1:10" x14ac:dyDescent="0.25">
      <c r="A1007" s="31" t="s">
        <v>811</v>
      </c>
      <c r="B1007" s="31">
        <v>26.1005</v>
      </c>
      <c r="C1007" s="32" t="s">
        <v>11577</v>
      </c>
      <c r="D1007" s="31" t="s">
        <v>11441</v>
      </c>
      <c r="E1007" s="40" t="s">
        <v>11578</v>
      </c>
      <c r="F1007" s="38" t="s">
        <v>9009</v>
      </c>
      <c r="G1007" s="34" t="s">
        <v>9449</v>
      </c>
      <c r="I1007" s="44" t="s">
        <v>11568</v>
      </c>
      <c r="J1007" s="36" t="s">
        <v>811</v>
      </c>
    </row>
    <row r="1008" spans="1:10" x14ac:dyDescent="0.25">
      <c r="A1008" s="31" t="s">
        <v>812</v>
      </c>
      <c r="B1008" s="31">
        <v>26.1006</v>
      </c>
      <c r="C1008" s="32" t="s">
        <v>11579</v>
      </c>
      <c r="D1008" s="31" t="s">
        <v>11441</v>
      </c>
      <c r="E1008" s="40" t="s">
        <v>11580</v>
      </c>
      <c r="F1008" s="38" t="s">
        <v>9009</v>
      </c>
      <c r="G1008" s="34" t="s">
        <v>9449</v>
      </c>
      <c r="I1008" s="44" t="s">
        <v>11568</v>
      </c>
      <c r="J1008" s="36" t="s">
        <v>812</v>
      </c>
    </row>
    <row r="1009" spans="1:10" x14ac:dyDescent="0.25">
      <c r="A1009" s="31" t="s">
        <v>806</v>
      </c>
      <c r="B1009" s="31">
        <v>26.1007</v>
      </c>
      <c r="C1009" s="32" t="s">
        <v>11581</v>
      </c>
      <c r="D1009" s="31" t="s">
        <v>11441</v>
      </c>
      <c r="E1009" s="40" t="s">
        <v>11582</v>
      </c>
      <c r="F1009" s="38" t="s">
        <v>9009</v>
      </c>
      <c r="G1009" s="34" t="s">
        <v>9449</v>
      </c>
      <c r="I1009" s="44" t="s">
        <v>11568</v>
      </c>
      <c r="J1009" s="36" t="s">
        <v>806</v>
      </c>
    </row>
    <row r="1010" spans="1:10" x14ac:dyDescent="0.25">
      <c r="A1010" s="31" t="s">
        <v>813</v>
      </c>
      <c r="B1010" s="31">
        <v>26.1099</v>
      </c>
      <c r="C1010" s="32" t="s">
        <v>11583</v>
      </c>
      <c r="D1010" s="31" t="s">
        <v>11441</v>
      </c>
      <c r="E1010" s="40" t="s">
        <v>11584</v>
      </c>
      <c r="F1010" s="38" t="s">
        <v>9009</v>
      </c>
      <c r="G1010" s="34" t="s">
        <v>9449</v>
      </c>
      <c r="I1010" s="44" t="s">
        <v>11568</v>
      </c>
      <c r="J1010" s="36" t="s">
        <v>813</v>
      </c>
    </row>
    <row r="1011" spans="1:10" x14ac:dyDescent="0.25">
      <c r="A1011" s="31" t="s">
        <v>814</v>
      </c>
      <c r="B1011" s="31">
        <v>26.11</v>
      </c>
      <c r="C1011" s="32" t="s">
        <v>11585</v>
      </c>
      <c r="D1011" s="31" t="s">
        <v>11441</v>
      </c>
      <c r="E1011" s="40" t="s">
        <v>9450</v>
      </c>
      <c r="F1011" s="38" t="s">
        <v>9009</v>
      </c>
      <c r="G1011" s="34" t="s">
        <v>9450</v>
      </c>
      <c r="H1011" s="34" t="s">
        <v>9450</v>
      </c>
      <c r="I1011" s="44" t="s">
        <v>11585</v>
      </c>
      <c r="J1011" s="36" t="s">
        <v>814</v>
      </c>
    </row>
    <row r="1012" spans="1:10" x14ac:dyDescent="0.25">
      <c r="A1012" s="31" t="s">
        <v>815</v>
      </c>
      <c r="B1012" s="31">
        <v>26.110099999999999</v>
      </c>
      <c r="C1012" s="32" t="s">
        <v>11586</v>
      </c>
      <c r="D1012" s="31" t="s">
        <v>11441</v>
      </c>
      <c r="E1012" s="40" t="s">
        <v>11587</v>
      </c>
      <c r="F1012" s="38" t="s">
        <v>9009</v>
      </c>
      <c r="G1012" s="34" t="s">
        <v>9450</v>
      </c>
      <c r="I1012" s="44" t="s">
        <v>11585</v>
      </c>
      <c r="J1012" s="36" t="s">
        <v>815</v>
      </c>
    </row>
    <row r="1013" spans="1:10" x14ac:dyDescent="0.25">
      <c r="A1013" s="31" t="s">
        <v>816</v>
      </c>
      <c r="B1013" s="31">
        <v>26.110199999999999</v>
      </c>
      <c r="C1013" s="32" t="s">
        <v>11588</v>
      </c>
      <c r="D1013" s="31" t="s">
        <v>11441</v>
      </c>
      <c r="E1013" s="40" t="s">
        <v>11589</v>
      </c>
      <c r="F1013" s="38" t="s">
        <v>9009</v>
      </c>
      <c r="G1013" s="34" t="s">
        <v>9450</v>
      </c>
      <c r="I1013" s="44" t="s">
        <v>11585</v>
      </c>
      <c r="J1013" s="36" t="s">
        <v>816</v>
      </c>
    </row>
    <row r="1014" spans="1:10" x14ac:dyDescent="0.25">
      <c r="A1014" s="31" t="s">
        <v>817</v>
      </c>
      <c r="B1014" s="31">
        <v>26.110299999999999</v>
      </c>
      <c r="C1014" s="32" t="s">
        <v>11590</v>
      </c>
      <c r="D1014" s="31" t="s">
        <v>11441</v>
      </c>
      <c r="E1014" s="40" t="s">
        <v>11591</v>
      </c>
      <c r="F1014" s="38" t="s">
        <v>9009</v>
      </c>
      <c r="G1014" s="34" t="s">
        <v>9450</v>
      </c>
      <c r="I1014" s="44" t="s">
        <v>11585</v>
      </c>
      <c r="J1014" s="36" t="s">
        <v>817</v>
      </c>
    </row>
    <row r="1015" spans="1:10" x14ac:dyDescent="0.25">
      <c r="A1015" s="31" t="s">
        <v>818</v>
      </c>
      <c r="B1015" s="31">
        <v>26.110399999999998</v>
      </c>
      <c r="C1015" s="32" t="s">
        <v>11592</v>
      </c>
      <c r="D1015" s="31" t="s">
        <v>11441</v>
      </c>
      <c r="E1015" s="40" t="s">
        <v>11593</v>
      </c>
      <c r="F1015" s="38" t="s">
        <v>9009</v>
      </c>
      <c r="G1015" s="34" t="s">
        <v>9450</v>
      </c>
      <c r="I1015" s="44" t="s">
        <v>11585</v>
      </c>
      <c r="J1015" s="36" t="s">
        <v>818</v>
      </c>
    </row>
    <row r="1016" spans="1:10" x14ac:dyDescent="0.25">
      <c r="A1016" s="31" t="s">
        <v>819</v>
      </c>
      <c r="B1016" s="31">
        <v>26.119900000000001</v>
      </c>
      <c r="C1016" s="32" t="s">
        <v>11594</v>
      </c>
      <c r="D1016" s="31" t="s">
        <v>11441</v>
      </c>
      <c r="E1016" s="40" t="s">
        <v>11595</v>
      </c>
      <c r="F1016" s="38" t="s">
        <v>9009</v>
      </c>
      <c r="G1016" s="34" t="s">
        <v>9450</v>
      </c>
      <c r="I1016" s="44" t="s">
        <v>11585</v>
      </c>
      <c r="J1016" s="36" t="s">
        <v>819</v>
      </c>
    </row>
    <row r="1017" spans="1:10" x14ac:dyDescent="0.25">
      <c r="A1017" s="31" t="s">
        <v>820</v>
      </c>
      <c r="B1017" s="31">
        <v>26.12</v>
      </c>
      <c r="C1017" s="32" t="s">
        <v>11596</v>
      </c>
      <c r="D1017" s="31" t="s">
        <v>11441</v>
      </c>
      <c r="E1017" s="40" t="s">
        <v>9451</v>
      </c>
      <c r="F1017" s="38" t="s">
        <v>9009</v>
      </c>
      <c r="G1017" s="34" t="s">
        <v>9451</v>
      </c>
      <c r="H1017" s="34" t="s">
        <v>9451</v>
      </c>
      <c r="I1017" s="44" t="s">
        <v>11596</v>
      </c>
      <c r="J1017" s="36" t="s">
        <v>820</v>
      </c>
    </row>
    <row r="1018" spans="1:10" x14ac:dyDescent="0.25">
      <c r="A1018" s="31" t="s">
        <v>820</v>
      </c>
      <c r="B1018" s="31">
        <v>26.120100000000001</v>
      </c>
      <c r="C1018" s="32" t="s">
        <v>11597</v>
      </c>
      <c r="D1018" s="31" t="s">
        <v>11441</v>
      </c>
      <c r="E1018" s="40" t="s">
        <v>11598</v>
      </c>
      <c r="F1018" s="38" t="s">
        <v>9009</v>
      </c>
      <c r="G1018" s="34" t="s">
        <v>9451</v>
      </c>
      <c r="I1018" s="44" t="s">
        <v>11596</v>
      </c>
      <c r="J1018" s="36" t="s">
        <v>820</v>
      </c>
    </row>
    <row r="1019" spans="1:10" x14ac:dyDescent="0.25">
      <c r="A1019" s="31" t="s">
        <v>821</v>
      </c>
      <c r="B1019" s="31">
        <v>26.13</v>
      </c>
      <c r="C1019" s="32" t="s">
        <v>11599</v>
      </c>
      <c r="D1019" s="31" t="s">
        <v>11441</v>
      </c>
      <c r="E1019" s="40" t="s">
        <v>9452</v>
      </c>
      <c r="F1019" s="38" t="s">
        <v>9009</v>
      </c>
      <c r="G1019" s="34" t="s">
        <v>9452</v>
      </c>
      <c r="H1019" s="34" t="s">
        <v>9452</v>
      </c>
      <c r="I1019" s="44" t="s">
        <v>11599</v>
      </c>
      <c r="J1019" s="36" t="s">
        <v>821</v>
      </c>
    </row>
    <row r="1020" spans="1:10" x14ac:dyDescent="0.25">
      <c r="A1020" s="31" t="s">
        <v>822</v>
      </c>
      <c r="B1020" s="31">
        <v>26.130099999999999</v>
      </c>
      <c r="C1020" s="32" t="s">
        <v>11600</v>
      </c>
      <c r="D1020" s="31" t="s">
        <v>11441</v>
      </c>
      <c r="E1020" s="40" t="s">
        <v>11601</v>
      </c>
      <c r="F1020" s="38" t="s">
        <v>9009</v>
      </c>
      <c r="G1020" s="34" t="s">
        <v>9452</v>
      </c>
      <c r="I1020" s="44" t="s">
        <v>11599</v>
      </c>
      <c r="J1020" s="36" t="s">
        <v>822</v>
      </c>
    </row>
    <row r="1021" spans="1:10" x14ac:dyDescent="0.25">
      <c r="A1021" s="31" t="s">
        <v>823</v>
      </c>
      <c r="B1021" s="31">
        <v>26.130199999999999</v>
      </c>
      <c r="C1021" s="32" t="s">
        <v>11602</v>
      </c>
      <c r="D1021" s="31" t="s">
        <v>11441</v>
      </c>
      <c r="E1021" s="40" t="s">
        <v>11603</v>
      </c>
      <c r="F1021" s="38" t="s">
        <v>9009</v>
      </c>
      <c r="G1021" s="34" t="s">
        <v>9452</v>
      </c>
      <c r="I1021" s="44" t="s">
        <v>11599</v>
      </c>
      <c r="J1021" s="36" t="s">
        <v>823</v>
      </c>
    </row>
    <row r="1022" spans="1:10" x14ac:dyDescent="0.25">
      <c r="A1022" s="31" t="s">
        <v>824</v>
      </c>
      <c r="B1022" s="31">
        <v>26.130299999999998</v>
      </c>
      <c r="C1022" s="32" t="s">
        <v>11604</v>
      </c>
      <c r="D1022" s="31" t="s">
        <v>11441</v>
      </c>
      <c r="E1022" s="40" t="s">
        <v>11605</v>
      </c>
      <c r="F1022" s="38" t="s">
        <v>9009</v>
      </c>
      <c r="G1022" s="34" t="s">
        <v>9452</v>
      </c>
      <c r="I1022" s="44" t="s">
        <v>11599</v>
      </c>
      <c r="J1022" s="36" t="s">
        <v>824</v>
      </c>
    </row>
    <row r="1023" spans="1:10" x14ac:dyDescent="0.25">
      <c r="A1023" s="31" t="s">
        <v>825</v>
      </c>
      <c r="B1023" s="31">
        <v>26.130400000000002</v>
      </c>
      <c r="C1023" s="32" t="s">
        <v>11606</v>
      </c>
      <c r="D1023" s="31" t="s">
        <v>11441</v>
      </c>
      <c r="E1023" s="40" t="s">
        <v>11607</v>
      </c>
      <c r="F1023" s="38" t="s">
        <v>9009</v>
      </c>
      <c r="G1023" s="34" t="s">
        <v>9452</v>
      </c>
      <c r="I1023" s="44" t="s">
        <v>11599</v>
      </c>
      <c r="J1023" s="36" t="s">
        <v>825</v>
      </c>
    </row>
    <row r="1024" spans="1:10" x14ac:dyDescent="0.25">
      <c r="A1024" s="31" t="s">
        <v>826</v>
      </c>
      <c r="B1024" s="31">
        <v>26.130500000000001</v>
      </c>
      <c r="C1024" s="32" t="s">
        <v>11608</v>
      </c>
      <c r="D1024" s="31" t="s">
        <v>11441</v>
      </c>
      <c r="E1024" s="40" t="s">
        <v>11609</v>
      </c>
      <c r="F1024" s="38" t="s">
        <v>9009</v>
      </c>
      <c r="G1024" s="34" t="s">
        <v>9452</v>
      </c>
      <c r="I1024" s="44" t="s">
        <v>11599</v>
      </c>
      <c r="J1024" s="36" t="s">
        <v>826</v>
      </c>
    </row>
    <row r="1025" spans="1:10" x14ac:dyDescent="0.25">
      <c r="A1025" s="31" t="s">
        <v>827</v>
      </c>
      <c r="B1025" s="31">
        <v>26.130600000000001</v>
      </c>
      <c r="C1025" s="32" t="s">
        <v>11610</v>
      </c>
      <c r="D1025" s="31" t="s">
        <v>11441</v>
      </c>
      <c r="E1025" s="40" t="s">
        <v>11611</v>
      </c>
      <c r="F1025" s="38" t="s">
        <v>9009</v>
      </c>
      <c r="G1025" s="34" t="s">
        <v>9452</v>
      </c>
      <c r="I1025" s="44" t="s">
        <v>11599</v>
      </c>
      <c r="J1025" s="36" t="s">
        <v>827</v>
      </c>
    </row>
    <row r="1026" spans="1:10" x14ac:dyDescent="0.25">
      <c r="A1026" s="31" t="s">
        <v>828</v>
      </c>
      <c r="B1026" s="31">
        <v>26.130700000000001</v>
      </c>
      <c r="C1026" s="32" t="s">
        <v>11612</v>
      </c>
      <c r="D1026" s="31" t="s">
        <v>11441</v>
      </c>
      <c r="E1026" s="40" t="s">
        <v>11613</v>
      </c>
      <c r="F1026" s="38" t="s">
        <v>9009</v>
      </c>
      <c r="G1026" s="34" t="s">
        <v>9452</v>
      </c>
      <c r="I1026" s="44" t="s">
        <v>11599</v>
      </c>
      <c r="J1026" s="36" t="s">
        <v>828</v>
      </c>
    </row>
    <row r="1027" spans="1:10" x14ac:dyDescent="0.25">
      <c r="A1027" s="31" t="s">
        <v>829</v>
      </c>
      <c r="B1027" s="31">
        <v>26.130800000000001</v>
      </c>
      <c r="C1027" s="32" t="s">
        <v>11614</v>
      </c>
      <c r="D1027" s="31" t="s">
        <v>11441</v>
      </c>
      <c r="E1027" s="40" t="s">
        <v>11615</v>
      </c>
      <c r="F1027" s="38" t="s">
        <v>9009</v>
      </c>
      <c r="G1027" s="34" t="s">
        <v>9452</v>
      </c>
      <c r="I1027" s="44" t="s">
        <v>11599</v>
      </c>
      <c r="J1027" s="36" t="s">
        <v>829</v>
      </c>
    </row>
    <row r="1028" spans="1:10" x14ac:dyDescent="0.25">
      <c r="A1028" s="31" t="s">
        <v>830</v>
      </c>
      <c r="B1028" s="31">
        <v>26.1309</v>
      </c>
      <c r="C1028" s="32" t="s">
        <v>11616</v>
      </c>
      <c r="D1028" s="31" t="s">
        <v>11441</v>
      </c>
      <c r="E1028" s="40" t="s">
        <v>11617</v>
      </c>
      <c r="F1028" s="38" t="s">
        <v>9009</v>
      </c>
      <c r="G1028" s="34" t="s">
        <v>9452</v>
      </c>
      <c r="I1028" s="44" t="s">
        <v>11599</v>
      </c>
      <c r="J1028" s="36" t="s">
        <v>830</v>
      </c>
    </row>
    <row r="1029" spans="1:10" x14ac:dyDescent="0.25">
      <c r="A1029" s="31" t="s">
        <v>831</v>
      </c>
      <c r="B1029" s="31">
        <v>26.131</v>
      </c>
      <c r="C1029" s="32" t="s">
        <v>11618</v>
      </c>
      <c r="D1029" s="31" t="s">
        <v>11441</v>
      </c>
      <c r="E1029" s="40" t="s">
        <v>11619</v>
      </c>
      <c r="F1029" s="38" t="s">
        <v>9009</v>
      </c>
      <c r="G1029" s="34" t="s">
        <v>9452</v>
      </c>
      <c r="I1029" s="44" t="s">
        <v>11599</v>
      </c>
      <c r="J1029" s="36" t="s">
        <v>831</v>
      </c>
    </row>
    <row r="1030" spans="1:10" x14ac:dyDescent="0.25">
      <c r="A1030" s="31" t="s">
        <v>1952</v>
      </c>
      <c r="B1030" s="31">
        <v>26.1311</v>
      </c>
      <c r="C1030" s="32" t="s">
        <v>11620</v>
      </c>
      <c r="D1030" s="31" t="s">
        <v>11441</v>
      </c>
      <c r="E1030" s="40" t="s">
        <v>11621</v>
      </c>
      <c r="F1030" s="38" t="s">
        <v>9009</v>
      </c>
      <c r="G1030" s="34" t="s">
        <v>9452</v>
      </c>
      <c r="I1030" s="44" t="s">
        <v>11599</v>
      </c>
      <c r="J1030" s="36" t="s">
        <v>1952</v>
      </c>
    </row>
    <row r="1031" spans="1:10" x14ac:dyDescent="0.25">
      <c r="A1031" s="31" t="s">
        <v>832</v>
      </c>
      <c r="B1031" s="31">
        <v>26.139900000000001</v>
      </c>
      <c r="C1031" s="32" t="s">
        <v>11622</v>
      </c>
      <c r="D1031" s="31" t="s">
        <v>11441</v>
      </c>
      <c r="E1031" s="40" t="s">
        <v>11623</v>
      </c>
      <c r="F1031" s="38" t="s">
        <v>9009</v>
      </c>
      <c r="G1031" s="34" t="s">
        <v>9452</v>
      </c>
      <c r="I1031" s="44" t="s">
        <v>11599</v>
      </c>
      <c r="J1031" s="36" t="s">
        <v>832</v>
      </c>
    </row>
    <row r="1032" spans="1:10" x14ac:dyDescent="0.25">
      <c r="A1032" s="31" t="s">
        <v>833</v>
      </c>
      <c r="B1032" s="31">
        <v>26.14</v>
      </c>
      <c r="C1032" s="32" t="s">
        <v>11624</v>
      </c>
      <c r="D1032" s="31" t="s">
        <v>11441</v>
      </c>
      <c r="E1032" s="40" t="s">
        <v>9453</v>
      </c>
      <c r="F1032" s="38" t="s">
        <v>9009</v>
      </c>
      <c r="G1032" s="34" t="s">
        <v>9453</v>
      </c>
      <c r="H1032" s="34" t="s">
        <v>9453</v>
      </c>
      <c r="I1032" s="35" t="s">
        <v>11624</v>
      </c>
      <c r="J1032" s="36" t="s">
        <v>833</v>
      </c>
    </row>
    <row r="1033" spans="1:10" x14ac:dyDescent="0.25">
      <c r="A1033" s="31" t="s">
        <v>833</v>
      </c>
      <c r="B1033" s="31">
        <v>26.1401</v>
      </c>
      <c r="C1033" s="32" t="s">
        <v>11625</v>
      </c>
      <c r="D1033" s="31" t="s">
        <v>11441</v>
      </c>
      <c r="E1033" s="40" t="s">
        <v>11626</v>
      </c>
      <c r="F1033" s="38" t="s">
        <v>9009</v>
      </c>
      <c r="G1033" s="34" t="s">
        <v>9453</v>
      </c>
      <c r="I1033" s="35" t="s">
        <v>11624</v>
      </c>
      <c r="J1033" s="36" t="s">
        <v>833</v>
      </c>
    </row>
    <row r="1034" spans="1:10" x14ac:dyDescent="0.25">
      <c r="A1034" s="31" t="s">
        <v>834</v>
      </c>
      <c r="B1034" s="31">
        <v>26.15</v>
      </c>
      <c r="C1034" s="32" t="s">
        <v>11627</v>
      </c>
      <c r="D1034" s="31" t="s">
        <v>11441</v>
      </c>
      <c r="E1034" s="40" t="s">
        <v>9454</v>
      </c>
      <c r="F1034" s="38" t="s">
        <v>9009</v>
      </c>
      <c r="G1034" s="34" t="s">
        <v>9454</v>
      </c>
      <c r="H1034" s="34" t="s">
        <v>9454</v>
      </c>
      <c r="I1034" s="44" t="s">
        <v>11627</v>
      </c>
      <c r="J1034" s="36" t="s">
        <v>834</v>
      </c>
    </row>
    <row r="1035" spans="1:10" x14ac:dyDescent="0.25">
      <c r="A1035" s="31" t="s">
        <v>835</v>
      </c>
      <c r="B1035" s="31">
        <v>26.150099999999998</v>
      </c>
      <c r="C1035" s="32" t="s">
        <v>11628</v>
      </c>
      <c r="D1035" s="31" t="s">
        <v>11441</v>
      </c>
      <c r="E1035" s="40" t="s">
        <v>11629</v>
      </c>
      <c r="F1035" s="38" t="s">
        <v>9009</v>
      </c>
      <c r="G1035" s="34" t="s">
        <v>9454</v>
      </c>
      <c r="I1035" s="44" t="s">
        <v>11627</v>
      </c>
      <c r="J1035" s="36" t="s">
        <v>835</v>
      </c>
    </row>
    <row r="1036" spans="1:10" x14ac:dyDescent="0.25">
      <c r="A1036" s="31" t="s">
        <v>766</v>
      </c>
      <c r="B1036" s="31">
        <v>26.150200000000002</v>
      </c>
      <c r="C1036" s="32" t="s">
        <v>11630</v>
      </c>
      <c r="D1036" s="31" t="s">
        <v>11441</v>
      </c>
      <c r="E1036" s="40" t="s">
        <v>11631</v>
      </c>
      <c r="F1036" s="38" t="s">
        <v>9009</v>
      </c>
      <c r="G1036" s="34" t="s">
        <v>9454</v>
      </c>
      <c r="I1036" s="44" t="s">
        <v>11627</v>
      </c>
      <c r="J1036" s="36" t="s">
        <v>766</v>
      </c>
    </row>
    <row r="1037" spans="1:10" x14ac:dyDescent="0.25">
      <c r="A1037" s="31" t="s">
        <v>836</v>
      </c>
      <c r="B1037" s="31">
        <v>26.150300000000001</v>
      </c>
      <c r="C1037" s="32" t="s">
        <v>11632</v>
      </c>
      <c r="D1037" s="31" t="s">
        <v>11441</v>
      </c>
      <c r="E1037" s="40" t="s">
        <v>11633</v>
      </c>
      <c r="F1037" s="38" t="s">
        <v>9009</v>
      </c>
      <c r="G1037" s="34" t="s">
        <v>9454</v>
      </c>
      <c r="I1037" s="44" t="s">
        <v>11627</v>
      </c>
      <c r="J1037" s="36" t="s">
        <v>836</v>
      </c>
    </row>
    <row r="1038" spans="1:10" x14ac:dyDescent="0.25">
      <c r="A1038" s="31" t="s">
        <v>837</v>
      </c>
      <c r="B1038" s="31">
        <v>26.150400000000001</v>
      </c>
      <c r="C1038" s="32" t="s">
        <v>11634</v>
      </c>
      <c r="D1038" s="31" t="s">
        <v>11441</v>
      </c>
      <c r="E1038" s="40" t="s">
        <v>11635</v>
      </c>
      <c r="F1038" s="38" t="s">
        <v>9009</v>
      </c>
      <c r="G1038" s="34" t="s">
        <v>9454</v>
      </c>
      <c r="I1038" s="44" t="s">
        <v>11627</v>
      </c>
      <c r="J1038" s="36" t="s">
        <v>837</v>
      </c>
    </row>
    <row r="1039" spans="1:10" x14ac:dyDescent="0.25">
      <c r="A1039" s="31" t="s">
        <v>838</v>
      </c>
      <c r="B1039" s="31">
        <v>26.1599</v>
      </c>
      <c r="C1039" s="32" t="s">
        <v>11636</v>
      </c>
      <c r="D1039" s="31" t="s">
        <v>11441</v>
      </c>
      <c r="E1039" s="40" t="s">
        <v>11637</v>
      </c>
      <c r="F1039" s="38" t="s">
        <v>9009</v>
      </c>
      <c r="G1039" s="34" t="s">
        <v>9454</v>
      </c>
      <c r="I1039" s="44" t="s">
        <v>11627</v>
      </c>
      <c r="J1039" s="36" t="s">
        <v>838</v>
      </c>
    </row>
    <row r="1040" spans="1:10" x14ac:dyDescent="0.25">
      <c r="A1040" s="31" t="s">
        <v>839</v>
      </c>
      <c r="B1040" s="31">
        <v>26.99</v>
      </c>
      <c r="C1040" s="32" t="s">
        <v>11638</v>
      </c>
      <c r="D1040" s="31" t="s">
        <v>11441</v>
      </c>
      <c r="E1040" s="40" t="s">
        <v>9455</v>
      </c>
      <c r="F1040" s="38" t="s">
        <v>9009</v>
      </c>
      <c r="G1040" s="34" t="s">
        <v>9455</v>
      </c>
      <c r="H1040" s="34" t="s">
        <v>9455</v>
      </c>
      <c r="I1040" s="44" t="s">
        <v>11638</v>
      </c>
      <c r="J1040" s="36" t="s">
        <v>839</v>
      </c>
    </row>
    <row r="1041" spans="1:10" x14ac:dyDescent="0.25">
      <c r="A1041" s="31" t="s">
        <v>839</v>
      </c>
      <c r="B1041" s="31">
        <v>26.9999</v>
      </c>
      <c r="C1041" s="32" t="s">
        <v>11639</v>
      </c>
      <c r="D1041" s="31" t="s">
        <v>11441</v>
      </c>
      <c r="E1041" s="40" t="s">
        <v>11640</v>
      </c>
      <c r="F1041" s="38" t="s">
        <v>9009</v>
      </c>
      <c r="G1041" s="34" t="s">
        <v>9455</v>
      </c>
      <c r="I1041" s="44" t="s">
        <v>11638</v>
      </c>
      <c r="J1041" s="36" t="s">
        <v>839</v>
      </c>
    </row>
    <row r="1042" spans="1:10" x14ac:dyDescent="0.25">
      <c r="A1042" s="31" t="s">
        <v>840</v>
      </c>
      <c r="B1042" s="31">
        <v>27</v>
      </c>
      <c r="C1042" s="32" t="s">
        <v>11641</v>
      </c>
      <c r="D1042" s="31" t="s">
        <v>11641</v>
      </c>
      <c r="E1042" s="40" t="s">
        <v>9456</v>
      </c>
      <c r="F1042" s="38" t="s">
        <v>9026</v>
      </c>
      <c r="G1042" s="34" t="s">
        <v>9456</v>
      </c>
      <c r="H1042" s="34" t="s">
        <v>9456</v>
      </c>
      <c r="I1042" s="45" t="s">
        <v>11641</v>
      </c>
      <c r="J1042" s="36" t="s">
        <v>840</v>
      </c>
    </row>
    <row r="1043" spans="1:10" x14ac:dyDescent="0.25">
      <c r="A1043" s="31" t="s">
        <v>841</v>
      </c>
      <c r="B1043" s="31">
        <v>27.01</v>
      </c>
      <c r="C1043" s="32" t="s">
        <v>11642</v>
      </c>
      <c r="D1043" s="31" t="s">
        <v>11641</v>
      </c>
      <c r="E1043" s="40" t="s">
        <v>9457</v>
      </c>
      <c r="F1043" s="38" t="s">
        <v>9026</v>
      </c>
      <c r="G1043" s="34" t="s">
        <v>9457</v>
      </c>
      <c r="H1043" s="34" t="s">
        <v>9457</v>
      </c>
      <c r="I1043" s="44" t="s">
        <v>11642</v>
      </c>
      <c r="J1043" s="36" t="s">
        <v>841</v>
      </c>
    </row>
    <row r="1044" spans="1:10" x14ac:dyDescent="0.25">
      <c r="A1044" s="31" t="s">
        <v>842</v>
      </c>
      <c r="B1044" s="31">
        <v>27.010100000000001</v>
      </c>
      <c r="C1044" s="32" t="s">
        <v>11643</v>
      </c>
      <c r="D1044" s="31" t="s">
        <v>11641</v>
      </c>
      <c r="E1044" s="40" t="s">
        <v>11644</v>
      </c>
      <c r="F1044" s="38" t="s">
        <v>9026</v>
      </c>
      <c r="G1044" s="34" t="s">
        <v>9457</v>
      </c>
      <c r="I1044" s="44" t="s">
        <v>11642</v>
      </c>
      <c r="J1044" s="36" t="s">
        <v>842</v>
      </c>
    </row>
    <row r="1045" spans="1:10" x14ac:dyDescent="0.25">
      <c r="A1045" s="31" t="s">
        <v>843</v>
      </c>
      <c r="B1045" s="31">
        <v>27.010200000000001</v>
      </c>
      <c r="C1045" s="32" t="s">
        <v>11645</v>
      </c>
      <c r="D1045" s="31" t="s">
        <v>11641</v>
      </c>
      <c r="E1045" s="40" t="s">
        <v>11646</v>
      </c>
      <c r="F1045" s="38" t="s">
        <v>9026</v>
      </c>
      <c r="G1045" s="34" t="s">
        <v>9457</v>
      </c>
      <c r="I1045" s="44" t="s">
        <v>11642</v>
      </c>
      <c r="J1045" s="36" t="s">
        <v>843</v>
      </c>
    </row>
    <row r="1046" spans="1:10" x14ac:dyDescent="0.25">
      <c r="A1046" s="31" t="s">
        <v>844</v>
      </c>
      <c r="B1046" s="31">
        <v>27.010300000000001</v>
      </c>
      <c r="C1046" s="32" t="s">
        <v>11647</v>
      </c>
      <c r="D1046" s="31" t="s">
        <v>11641</v>
      </c>
      <c r="E1046" s="40" t="s">
        <v>11648</v>
      </c>
      <c r="F1046" s="38" t="s">
        <v>9026</v>
      </c>
      <c r="G1046" s="34" t="s">
        <v>9457</v>
      </c>
      <c r="I1046" s="44" t="s">
        <v>11642</v>
      </c>
      <c r="J1046" s="36" t="s">
        <v>844</v>
      </c>
    </row>
    <row r="1047" spans="1:10" x14ac:dyDescent="0.25">
      <c r="A1047" s="31" t="s">
        <v>845</v>
      </c>
      <c r="B1047" s="31">
        <v>27.010400000000001</v>
      </c>
      <c r="C1047" s="32" t="s">
        <v>11649</v>
      </c>
      <c r="D1047" s="31" t="s">
        <v>11641</v>
      </c>
      <c r="E1047" s="40" t="s">
        <v>11650</v>
      </c>
      <c r="F1047" s="38" t="s">
        <v>9026</v>
      </c>
      <c r="G1047" s="34" t="s">
        <v>9457</v>
      </c>
      <c r="I1047" s="44" t="s">
        <v>11642</v>
      </c>
      <c r="J1047" s="36" t="s">
        <v>845</v>
      </c>
    </row>
    <row r="1048" spans="1:10" x14ac:dyDescent="0.25">
      <c r="A1048" s="31" t="s">
        <v>846</v>
      </c>
      <c r="B1048" s="31">
        <v>27.0105</v>
      </c>
      <c r="C1048" s="32" t="s">
        <v>11651</v>
      </c>
      <c r="D1048" s="31" t="s">
        <v>11641</v>
      </c>
      <c r="E1048" s="40" t="s">
        <v>11652</v>
      </c>
      <c r="F1048" s="38" t="s">
        <v>9026</v>
      </c>
      <c r="G1048" s="34" t="s">
        <v>9457</v>
      </c>
      <c r="I1048" s="44" t="s">
        <v>11642</v>
      </c>
      <c r="J1048" s="36" t="s">
        <v>846</v>
      </c>
    </row>
    <row r="1049" spans="1:10" x14ac:dyDescent="0.25">
      <c r="A1049" s="31" t="s">
        <v>847</v>
      </c>
      <c r="B1049" s="31">
        <v>27.0199</v>
      </c>
      <c r="C1049" s="32" t="s">
        <v>11653</v>
      </c>
      <c r="D1049" s="31" t="s">
        <v>11641</v>
      </c>
      <c r="E1049" s="40" t="s">
        <v>11654</v>
      </c>
      <c r="F1049" s="38" t="s">
        <v>9026</v>
      </c>
      <c r="G1049" s="34" t="s">
        <v>9457</v>
      </c>
      <c r="I1049" s="44" t="s">
        <v>11642</v>
      </c>
      <c r="J1049" s="36" t="s">
        <v>847</v>
      </c>
    </row>
    <row r="1050" spans="1:10" x14ac:dyDescent="0.25">
      <c r="A1050" s="31" t="s">
        <v>848</v>
      </c>
      <c r="B1050" s="31">
        <v>27.03</v>
      </c>
      <c r="C1050" s="32" t="s">
        <v>11655</v>
      </c>
      <c r="D1050" s="31" t="s">
        <v>11641</v>
      </c>
      <c r="E1050" s="40" t="s">
        <v>9458</v>
      </c>
      <c r="F1050" s="38" t="s">
        <v>9026</v>
      </c>
      <c r="G1050" s="34" t="s">
        <v>9458</v>
      </c>
      <c r="H1050" s="34" t="s">
        <v>9458</v>
      </c>
      <c r="I1050" s="44" t="s">
        <v>11655</v>
      </c>
      <c r="J1050" s="36" t="s">
        <v>848</v>
      </c>
    </row>
    <row r="1051" spans="1:10" x14ac:dyDescent="0.25">
      <c r="A1051" s="31" t="s">
        <v>849</v>
      </c>
      <c r="B1051" s="31">
        <v>27.030100000000001</v>
      </c>
      <c r="C1051" s="32" t="s">
        <v>11656</v>
      </c>
      <c r="D1051" s="31" t="s">
        <v>11641</v>
      </c>
      <c r="E1051" s="40" t="s">
        <v>11657</v>
      </c>
      <c r="F1051" s="38" t="s">
        <v>9026</v>
      </c>
      <c r="G1051" s="34" t="s">
        <v>9458</v>
      </c>
      <c r="I1051" s="44" t="s">
        <v>11655</v>
      </c>
      <c r="J1051" s="36" t="s">
        <v>849</v>
      </c>
    </row>
    <row r="1052" spans="1:10" x14ac:dyDescent="0.25">
      <c r="A1052" s="31" t="s">
        <v>850</v>
      </c>
      <c r="B1052" s="31">
        <v>27.0303</v>
      </c>
      <c r="C1052" s="32" t="s">
        <v>11658</v>
      </c>
      <c r="D1052" s="31" t="s">
        <v>11641</v>
      </c>
      <c r="E1052" s="40" t="s">
        <v>11659</v>
      </c>
      <c r="F1052" s="38" t="s">
        <v>9026</v>
      </c>
      <c r="G1052" s="34" t="s">
        <v>9458</v>
      </c>
      <c r="I1052" s="44" t="s">
        <v>11655</v>
      </c>
      <c r="J1052" s="36" t="s">
        <v>850</v>
      </c>
    </row>
    <row r="1053" spans="1:10" x14ac:dyDescent="0.25">
      <c r="A1053" s="31" t="s">
        <v>851</v>
      </c>
      <c r="B1053" s="31">
        <v>27.0304</v>
      </c>
      <c r="C1053" s="32" t="s">
        <v>11660</v>
      </c>
      <c r="D1053" s="31" t="s">
        <v>11641</v>
      </c>
      <c r="E1053" s="40" t="s">
        <v>11661</v>
      </c>
      <c r="F1053" s="38" t="s">
        <v>9026</v>
      </c>
      <c r="G1053" s="34" t="s">
        <v>9458</v>
      </c>
      <c r="I1053" s="44" t="s">
        <v>11655</v>
      </c>
      <c r="J1053" s="36" t="s">
        <v>851</v>
      </c>
    </row>
    <row r="1054" spans="1:10" x14ac:dyDescent="0.25">
      <c r="A1054" s="31" t="s">
        <v>852</v>
      </c>
      <c r="B1054" s="31">
        <v>27.0305</v>
      </c>
      <c r="C1054" s="32" t="s">
        <v>11662</v>
      </c>
      <c r="D1054" s="31" t="s">
        <v>11641</v>
      </c>
      <c r="E1054" s="40" t="s">
        <v>11663</v>
      </c>
      <c r="F1054" s="38" t="s">
        <v>9026</v>
      </c>
      <c r="G1054" s="34" t="s">
        <v>9458</v>
      </c>
      <c r="I1054" s="44" t="s">
        <v>11655</v>
      </c>
      <c r="J1054" s="36" t="s">
        <v>852</v>
      </c>
    </row>
    <row r="1055" spans="1:10" x14ac:dyDescent="0.25">
      <c r="A1055" s="31" t="s">
        <v>853</v>
      </c>
      <c r="B1055" s="31">
        <v>27.0306</v>
      </c>
      <c r="C1055" s="32" t="s">
        <v>11664</v>
      </c>
      <c r="D1055" s="31" t="s">
        <v>11641</v>
      </c>
      <c r="E1055" s="40" t="s">
        <v>11665</v>
      </c>
      <c r="F1055" s="38" t="s">
        <v>9026</v>
      </c>
      <c r="G1055" s="34" t="s">
        <v>9458</v>
      </c>
      <c r="I1055" s="44" t="s">
        <v>11655</v>
      </c>
      <c r="J1055" s="36" t="s">
        <v>853</v>
      </c>
    </row>
    <row r="1056" spans="1:10" x14ac:dyDescent="0.25">
      <c r="A1056" s="31" t="s">
        <v>854</v>
      </c>
      <c r="B1056" s="31">
        <v>27.039899999999999</v>
      </c>
      <c r="C1056" s="32" t="s">
        <v>11666</v>
      </c>
      <c r="D1056" s="31" t="s">
        <v>11641</v>
      </c>
      <c r="E1056" s="40" t="s">
        <v>11667</v>
      </c>
      <c r="F1056" s="38" t="s">
        <v>9026</v>
      </c>
      <c r="G1056" s="34" t="s">
        <v>9458</v>
      </c>
      <c r="I1056" s="44" t="s">
        <v>11655</v>
      </c>
      <c r="J1056" s="36" t="s">
        <v>854</v>
      </c>
    </row>
    <row r="1057" spans="1:10" x14ac:dyDescent="0.25">
      <c r="A1057" s="31" t="s">
        <v>855</v>
      </c>
      <c r="B1057" s="31">
        <v>27.05</v>
      </c>
      <c r="C1057" s="32" t="s">
        <v>11668</v>
      </c>
      <c r="D1057" s="31" t="s">
        <v>11641</v>
      </c>
      <c r="E1057" s="40" t="s">
        <v>9459</v>
      </c>
      <c r="F1057" s="38" t="s">
        <v>9026</v>
      </c>
      <c r="G1057" s="34" t="s">
        <v>9459</v>
      </c>
      <c r="H1057" s="34" t="s">
        <v>9459</v>
      </c>
      <c r="I1057" s="44" t="s">
        <v>11668</v>
      </c>
      <c r="J1057" s="36" t="s">
        <v>855</v>
      </c>
    </row>
    <row r="1058" spans="1:10" x14ac:dyDescent="0.25">
      <c r="A1058" s="31" t="s">
        <v>856</v>
      </c>
      <c r="B1058" s="31">
        <v>27.0501</v>
      </c>
      <c r="C1058" s="32" t="s">
        <v>11669</v>
      </c>
      <c r="D1058" s="31" t="s">
        <v>11641</v>
      </c>
      <c r="E1058" s="40" t="s">
        <v>11670</v>
      </c>
      <c r="F1058" s="38" t="s">
        <v>9026</v>
      </c>
      <c r="G1058" s="34" t="s">
        <v>9459</v>
      </c>
      <c r="I1058" s="44" t="s">
        <v>11668</v>
      </c>
      <c r="J1058" s="36" t="s">
        <v>856</v>
      </c>
    </row>
    <row r="1059" spans="1:10" x14ac:dyDescent="0.25">
      <c r="A1059" s="31" t="s">
        <v>857</v>
      </c>
      <c r="B1059" s="31">
        <v>27.0502</v>
      </c>
      <c r="C1059" s="32" t="s">
        <v>11671</v>
      </c>
      <c r="D1059" s="31" t="s">
        <v>11641</v>
      </c>
      <c r="E1059" s="40" t="s">
        <v>11672</v>
      </c>
      <c r="F1059" s="38" t="s">
        <v>9026</v>
      </c>
      <c r="G1059" s="34" t="s">
        <v>9459</v>
      </c>
      <c r="I1059" s="44" t="s">
        <v>11668</v>
      </c>
      <c r="J1059" s="36" t="s">
        <v>857</v>
      </c>
    </row>
    <row r="1060" spans="1:10" x14ac:dyDescent="0.25">
      <c r="A1060" s="31" t="s">
        <v>858</v>
      </c>
      <c r="B1060" s="31">
        <v>27.0503</v>
      </c>
      <c r="C1060" s="32" t="s">
        <v>11673</v>
      </c>
      <c r="D1060" s="31" t="s">
        <v>11641</v>
      </c>
      <c r="E1060" s="40" t="s">
        <v>11674</v>
      </c>
      <c r="F1060" s="38" t="s">
        <v>9026</v>
      </c>
      <c r="G1060" s="34" t="s">
        <v>9459</v>
      </c>
      <c r="I1060" s="44" t="s">
        <v>11668</v>
      </c>
      <c r="J1060" s="36" t="s">
        <v>858</v>
      </c>
    </row>
    <row r="1061" spans="1:10" x14ac:dyDescent="0.25">
      <c r="A1061" s="31" t="s">
        <v>859</v>
      </c>
      <c r="B1061" s="31">
        <v>27.059899999999999</v>
      </c>
      <c r="C1061" s="32" t="s">
        <v>11675</v>
      </c>
      <c r="D1061" s="31" t="s">
        <v>11641</v>
      </c>
      <c r="E1061" s="40" t="s">
        <v>11676</v>
      </c>
      <c r="F1061" s="38" t="s">
        <v>9026</v>
      </c>
      <c r="G1061" s="34" t="s">
        <v>9459</v>
      </c>
      <c r="I1061" s="44" t="s">
        <v>11668</v>
      </c>
      <c r="J1061" s="36" t="s">
        <v>859</v>
      </c>
    </row>
    <row r="1062" spans="1:10" x14ac:dyDescent="0.25">
      <c r="A1062" s="31" t="s">
        <v>1953</v>
      </c>
      <c r="B1062" s="31">
        <v>27.06</v>
      </c>
      <c r="C1062" s="32" t="s">
        <v>11677</v>
      </c>
      <c r="D1062" s="31" t="s">
        <v>11641</v>
      </c>
      <c r="E1062" s="40" t="s">
        <v>9460</v>
      </c>
      <c r="F1062" s="38" t="s">
        <v>9026</v>
      </c>
      <c r="G1062" s="34" t="s">
        <v>9460</v>
      </c>
      <c r="H1062" s="34" t="s">
        <v>9460</v>
      </c>
      <c r="I1062" s="44" t="s">
        <v>11677</v>
      </c>
      <c r="J1062" s="36" t="s">
        <v>1953</v>
      </c>
    </row>
    <row r="1063" spans="1:10" x14ac:dyDescent="0.25">
      <c r="A1063" s="31" t="s">
        <v>1954</v>
      </c>
      <c r="B1063" s="31">
        <v>27.060099999999998</v>
      </c>
      <c r="C1063" s="32" t="s">
        <v>11678</v>
      </c>
      <c r="D1063" s="31" t="s">
        <v>11641</v>
      </c>
      <c r="E1063" s="40" t="s">
        <v>11679</v>
      </c>
      <c r="F1063" s="38" t="s">
        <v>9026</v>
      </c>
      <c r="G1063" s="34" t="s">
        <v>9460</v>
      </c>
      <c r="I1063" s="44" t="s">
        <v>11677</v>
      </c>
      <c r="J1063" s="36" t="s">
        <v>1954</v>
      </c>
    </row>
    <row r="1064" spans="1:10" x14ac:dyDescent="0.25">
      <c r="A1064" s="31" t="s">
        <v>860</v>
      </c>
      <c r="B1064" s="31">
        <v>27.99</v>
      </c>
      <c r="C1064" s="32" t="s">
        <v>11680</v>
      </c>
      <c r="D1064" s="31" t="s">
        <v>11641</v>
      </c>
      <c r="E1064" s="40" t="s">
        <v>9461</v>
      </c>
      <c r="F1064" s="38" t="s">
        <v>9026</v>
      </c>
      <c r="G1064" s="34" t="s">
        <v>9461</v>
      </c>
      <c r="H1064" s="34" t="s">
        <v>9461</v>
      </c>
      <c r="I1064" s="35" t="s">
        <v>11680</v>
      </c>
      <c r="J1064" s="36" t="s">
        <v>860</v>
      </c>
    </row>
    <row r="1065" spans="1:10" x14ac:dyDescent="0.25">
      <c r="A1065" s="31" t="s">
        <v>860</v>
      </c>
      <c r="B1065" s="31">
        <v>27.9999</v>
      </c>
      <c r="C1065" s="32" t="s">
        <v>11681</v>
      </c>
      <c r="D1065" s="31" t="s">
        <v>11641</v>
      </c>
      <c r="E1065" s="40" t="s">
        <v>11682</v>
      </c>
      <c r="F1065" s="38" t="s">
        <v>9026</v>
      </c>
      <c r="G1065" s="34" t="s">
        <v>9461</v>
      </c>
      <c r="I1065" s="35" t="s">
        <v>11680</v>
      </c>
      <c r="J1065" s="36" t="s">
        <v>860</v>
      </c>
    </row>
    <row r="1066" spans="1:10" x14ac:dyDescent="0.25">
      <c r="A1066" s="31" t="s">
        <v>861</v>
      </c>
      <c r="B1066" s="31">
        <v>28</v>
      </c>
      <c r="C1066" s="32" t="s">
        <v>11683</v>
      </c>
      <c r="D1066" s="31" t="s">
        <v>11683</v>
      </c>
      <c r="E1066" s="40" t="s">
        <v>9462</v>
      </c>
      <c r="F1066" s="38" t="s">
        <v>9032</v>
      </c>
      <c r="G1066" s="34" t="s">
        <v>9462</v>
      </c>
      <c r="H1066" s="34" t="s">
        <v>9462</v>
      </c>
      <c r="I1066" s="45" t="s">
        <v>11683</v>
      </c>
      <c r="J1066" s="36" t="s">
        <v>861</v>
      </c>
    </row>
    <row r="1067" spans="1:10" x14ac:dyDescent="0.25">
      <c r="A1067" s="31" t="s">
        <v>862</v>
      </c>
      <c r="B1067" s="31">
        <v>28.01</v>
      </c>
      <c r="C1067" s="32" t="s">
        <v>11684</v>
      </c>
      <c r="D1067" s="31" t="s">
        <v>11683</v>
      </c>
      <c r="E1067" s="40" t="s">
        <v>9463</v>
      </c>
      <c r="F1067" s="38" t="s">
        <v>9032</v>
      </c>
      <c r="G1067" s="34" t="s">
        <v>9463</v>
      </c>
      <c r="H1067" s="34" t="s">
        <v>9463</v>
      </c>
      <c r="I1067" s="35" t="s">
        <v>11684</v>
      </c>
      <c r="J1067" s="36" t="s">
        <v>862</v>
      </c>
    </row>
    <row r="1068" spans="1:10" x14ac:dyDescent="0.25">
      <c r="A1068" s="31" t="s">
        <v>863</v>
      </c>
      <c r="B1068" s="31">
        <v>28.010100000000001</v>
      </c>
      <c r="C1068" s="32" t="s">
        <v>11685</v>
      </c>
      <c r="D1068" s="31" t="s">
        <v>11683</v>
      </c>
      <c r="E1068" s="40" t="s">
        <v>11686</v>
      </c>
      <c r="F1068" s="38" t="s">
        <v>9032</v>
      </c>
      <c r="G1068" s="34" t="s">
        <v>9463</v>
      </c>
      <c r="I1068" s="35" t="s">
        <v>11684</v>
      </c>
      <c r="J1068" s="36" t="s">
        <v>863</v>
      </c>
    </row>
    <row r="1069" spans="1:10" x14ac:dyDescent="0.25">
      <c r="A1069" s="31" t="s">
        <v>864</v>
      </c>
      <c r="B1069" s="31">
        <v>28.0199</v>
      </c>
      <c r="C1069" s="32" t="s">
        <v>11687</v>
      </c>
      <c r="D1069" s="31" t="s">
        <v>11683</v>
      </c>
      <c r="E1069" s="40" t="s">
        <v>11688</v>
      </c>
      <c r="F1069" s="38" t="s">
        <v>9032</v>
      </c>
      <c r="G1069" s="34" t="s">
        <v>9463</v>
      </c>
      <c r="I1069" s="35" t="s">
        <v>11684</v>
      </c>
      <c r="J1069" s="36" t="s">
        <v>864</v>
      </c>
    </row>
    <row r="1070" spans="1:10" x14ac:dyDescent="0.25">
      <c r="A1070" s="31" t="s">
        <v>865</v>
      </c>
      <c r="B1070" s="31">
        <v>28.03</v>
      </c>
      <c r="C1070" s="32" t="s">
        <v>11689</v>
      </c>
      <c r="D1070" s="31" t="s">
        <v>11683</v>
      </c>
      <c r="E1070" s="40" t="s">
        <v>9464</v>
      </c>
      <c r="F1070" s="38" t="s">
        <v>9032</v>
      </c>
      <c r="G1070" s="34" t="s">
        <v>9464</v>
      </c>
      <c r="H1070" s="34" t="s">
        <v>9464</v>
      </c>
      <c r="I1070" s="35" t="s">
        <v>11689</v>
      </c>
      <c r="J1070" s="36" t="s">
        <v>865</v>
      </c>
    </row>
    <row r="1071" spans="1:10" x14ac:dyDescent="0.25">
      <c r="A1071" s="31" t="s">
        <v>866</v>
      </c>
      <c r="B1071" s="31">
        <v>28.030100000000001</v>
      </c>
      <c r="C1071" s="32" t="s">
        <v>11690</v>
      </c>
      <c r="D1071" s="31" t="s">
        <v>11683</v>
      </c>
      <c r="E1071" s="40" t="s">
        <v>11691</v>
      </c>
      <c r="F1071" s="38" t="s">
        <v>9032</v>
      </c>
      <c r="G1071" s="34" t="s">
        <v>9464</v>
      </c>
      <c r="I1071" s="35" t="s">
        <v>11689</v>
      </c>
      <c r="J1071" s="36" t="s">
        <v>866</v>
      </c>
    </row>
    <row r="1072" spans="1:10" x14ac:dyDescent="0.25">
      <c r="A1072" s="31" t="s">
        <v>867</v>
      </c>
      <c r="B1072" s="31">
        <v>28.039899999999999</v>
      </c>
      <c r="C1072" s="32" t="s">
        <v>11692</v>
      </c>
      <c r="D1072" s="31" t="s">
        <v>11683</v>
      </c>
      <c r="E1072" s="40" t="s">
        <v>11693</v>
      </c>
      <c r="F1072" s="38" t="s">
        <v>9032</v>
      </c>
      <c r="G1072" s="34" t="s">
        <v>9464</v>
      </c>
      <c r="I1072" s="35" t="s">
        <v>11689</v>
      </c>
      <c r="J1072" s="36" t="s">
        <v>867</v>
      </c>
    </row>
    <row r="1073" spans="1:10" x14ac:dyDescent="0.25">
      <c r="A1073" s="31" t="s">
        <v>868</v>
      </c>
      <c r="B1073" s="31">
        <v>28.04</v>
      </c>
      <c r="C1073" s="32" t="s">
        <v>11694</v>
      </c>
      <c r="D1073" s="31" t="s">
        <v>11683</v>
      </c>
      <c r="E1073" s="40" t="s">
        <v>9465</v>
      </c>
      <c r="F1073" s="38" t="s">
        <v>9032</v>
      </c>
      <c r="G1073" s="34" t="s">
        <v>9465</v>
      </c>
      <c r="H1073" s="34" t="s">
        <v>9465</v>
      </c>
      <c r="I1073" s="35" t="s">
        <v>11694</v>
      </c>
      <c r="J1073" s="36" t="s">
        <v>868</v>
      </c>
    </row>
    <row r="1074" spans="1:10" x14ac:dyDescent="0.25">
      <c r="A1074" s="31" t="s">
        <v>869</v>
      </c>
      <c r="B1074" s="31">
        <v>28.040099999999999</v>
      </c>
      <c r="C1074" s="32" t="s">
        <v>11695</v>
      </c>
      <c r="D1074" s="31" t="s">
        <v>11683</v>
      </c>
      <c r="E1074" s="40" t="s">
        <v>11696</v>
      </c>
      <c r="F1074" s="38" t="s">
        <v>9032</v>
      </c>
      <c r="G1074" s="34" t="s">
        <v>9465</v>
      </c>
      <c r="I1074" s="35" t="s">
        <v>11694</v>
      </c>
      <c r="J1074" s="36" t="s">
        <v>869</v>
      </c>
    </row>
    <row r="1075" spans="1:10" x14ac:dyDescent="0.25">
      <c r="A1075" s="31" t="s">
        <v>870</v>
      </c>
      <c r="B1075" s="31">
        <v>28.049900000000001</v>
      </c>
      <c r="C1075" s="32" t="s">
        <v>11697</v>
      </c>
      <c r="D1075" s="31" t="s">
        <v>11683</v>
      </c>
      <c r="E1075" s="40" t="s">
        <v>11698</v>
      </c>
      <c r="F1075" s="38" t="s">
        <v>9032</v>
      </c>
      <c r="G1075" s="34" t="s">
        <v>9465</v>
      </c>
      <c r="I1075" s="35" t="s">
        <v>11694</v>
      </c>
      <c r="J1075" s="36" t="s">
        <v>870</v>
      </c>
    </row>
    <row r="1076" spans="1:10" x14ac:dyDescent="0.25">
      <c r="A1076" s="31" t="s">
        <v>871</v>
      </c>
      <c r="B1076" s="31">
        <v>28.05</v>
      </c>
      <c r="C1076" s="32" t="s">
        <v>11699</v>
      </c>
      <c r="D1076" s="31" t="s">
        <v>11683</v>
      </c>
      <c r="E1076" s="40" t="s">
        <v>9466</v>
      </c>
      <c r="F1076" s="38" t="s">
        <v>9032</v>
      </c>
      <c r="G1076" s="34" t="s">
        <v>9466</v>
      </c>
      <c r="H1076" s="34" t="s">
        <v>9466</v>
      </c>
      <c r="I1076" s="35" t="s">
        <v>11699</v>
      </c>
      <c r="J1076" s="36" t="s">
        <v>871</v>
      </c>
    </row>
    <row r="1077" spans="1:10" x14ac:dyDescent="0.25">
      <c r="A1077" s="31" t="s">
        <v>872</v>
      </c>
      <c r="B1077" s="31">
        <v>28.0501</v>
      </c>
      <c r="C1077" s="32" t="s">
        <v>11700</v>
      </c>
      <c r="D1077" s="31" t="s">
        <v>11683</v>
      </c>
      <c r="E1077" s="40" t="s">
        <v>11701</v>
      </c>
      <c r="F1077" s="38" t="s">
        <v>9032</v>
      </c>
      <c r="G1077" s="34" t="s">
        <v>9466</v>
      </c>
      <c r="I1077" s="35" t="s">
        <v>11699</v>
      </c>
      <c r="J1077" s="36" t="s">
        <v>872</v>
      </c>
    </row>
    <row r="1078" spans="1:10" x14ac:dyDescent="0.25">
      <c r="A1078" s="31" t="s">
        <v>873</v>
      </c>
      <c r="B1078" s="31">
        <v>28.0502</v>
      </c>
      <c r="C1078" s="32" t="s">
        <v>11702</v>
      </c>
      <c r="D1078" s="31" t="s">
        <v>11683</v>
      </c>
      <c r="E1078" s="40" t="s">
        <v>11703</v>
      </c>
      <c r="F1078" s="38" t="s">
        <v>9032</v>
      </c>
      <c r="G1078" s="34" t="s">
        <v>9466</v>
      </c>
      <c r="I1078" s="35" t="s">
        <v>11699</v>
      </c>
      <c r="J1078" s="36" t="s">
        <v>873</v>
      </c>
    </row>
    <row r="1079" spans="1:10" x14ac:dyDescent="0.25">
      <c r="A1079" s="31" t="s">
        <v>874</v>
      </c>
      <c r="B1079" s="31">
        <v>28.0503</v>
      </c>
      <c r="C1079" s="32" t="s">
        <v>11704</v>
      </c>
      <c r="D1079" s="31" t="s">
        <v>11683</v>
      </c>
      <c r="E1079" s="40" t="s">
        <v>11705</v>
      </c>
      <c r="F1079" s="38" t="s">
        <v>9032</v>
      </c>
      <c r="G1079" s="34" t="s">
        <v>9466</v>
      </c>
      <c r="I1079" s="35" t="s">
        <v>11699</v>
      </c>
      <c r="J1079" s="36" t="s">
        <v>874</v>
      </c>
    </row>
    <row r="1080" spans="1:10" x14ac:dyDescent="0.25">
      <c r="A1080" s="31" t="s">
        <v>875</v>
      </c>
      <c r="B1080" s="31">
        <v>28.0504</v>
      </c>
      <c r="C1080" s="32" t="s">
        <v>11706</v>
      </c>
      <c r="D1080" s="31" t="s">
        <v>11683</v>
      </c>
      <c r="E1080" s="40" t="s">
        <v>11707</v>
      </c>
      <c r="F1080" s="38" t="s">
        <v>9032</v>
      </c>
      <c r="G1080" s="34" t="s">
        <v>9466</v>
      </c>
      <c r="I1080" s="35" t="s">
        <v>11699</v>
      </c>
      <c r="J1080" s="36" t="s">
        <v>875</v>
      </c>
    </row>
    <row r="1081" spans="1:10" x14ac:dyDescent="0.25">
      <c r="A1081" s="31" t="s">
        <v>876</v>
      </c>
      <c r="B1081" s="31">
        <v>28.0505</v>
      </c>
      <c r="C1081" s="32" t="s">
        <v>11708</v>
      </c>
      <c r="D1081" s="31" t="s">
        <v>11683</v>
      </c>
      <c r="E1081" s="40" t="s">
        <v>11709</v>
      </c>
      <c r="F1081" s="38" t="s">
        <v>9032</v>
      </c>
      <c r="G1081" s="34" t="s">
        <v>9466</v>
      </c>
      <c r="I1081" s="35" t="s">
        <v>11699</v>
      </c>
      <c r="J1081" s="36" t="s">
        <v>876</v>
      </c>
    </row>
    <row r="1082" spans="1:10" x14ac:dyDescent="0.25">
      <c r="A1082" s="31" t="s">
        <v>877</v>
      </c>
      <c r="B1082" s="31">
        <v>28.050599999999999</v>
      </c>
      <c r="C1082" s="32" t="s">
        <v>11710</v>
      </c>
      <c r="D1082" s="31" t="s">
        <v>11683</v>
      </c>
      <c r="E1082" s="40" t="s">
        <v>11711</v>
      </c>
      <c r="F1082" s="38" t="s">
        <v>9032</v>
      </c>
      <c r="G1082" s="34" t="s">
        <v>9466</v>
      </c>
      <c r="I1082" s="35" t="s">
        <v>11699</v>
      </c>
      <c r="J1082" s="36" t="s">
        <v>877</v>
      </c>
    </row>
    <row r="1083" spans="1:10" x14ac:dyDescent="0.25">
      <c r="A1083" s="31" t="s">
        <v>878</v>
      </c>
      <c r="B1083" s="31">
        <v>28.059899999999999</v>
      </c>
      <c r="C1083" s="32" t="s">
        <v>11712</v>
      </c>
      <c r="D1083" s="31" t="s">
        <v>11683</v>
      </c>
      <c r="E1083" s="40" t="s">
        <v>11713</v>
      </c>
      <c r="F1083" s="38" t="s">
        <v>9032</v>
      </c>
      <c r="G1083" s="34" t="s">
        <v>9466</v>
      </c>
      <c r="I1083" s="35" t="s">
        <v>11699</v>
      </c>
      <c r="J1083" s="36" t="s">
        <v>878</v>
      </c>
    </row>
    <row r="1084" spans="1:10" x14ac:dyDescent="0.25">
      <c r="A1084" s="31" t="s">
        <v>879</v>
      </c>
      <c r="B1084" s="31">
        <v>28.06</v>
      </c>
      <c r="C1084" s="32" t="s">
        <v>11714</v>
      </c>
      <c r="D1084" s="31" t="s">
        <v>11683</v>
      </c>
      <c r="E1084" s="40" t="s">
        <v>9467</v>
      </c>
      <c r="F1084" s="38" t="s">
        <v>9032</v>
      </c>
      <c r="G1084" s="34" t="s">
        <v>9467</v>
      </c>
      <c r="H1084" s="34" t="s">
        <v>9467</v>
      </c>
      <c r="I1084" s="35" t="s">
        <v>11714</v>
      </c>
      <c r="J1084" s="36" t="s">
        <v>879</v>
      </c>
    </row>
    <row r="1085" spans="1:10" x14ac:dyDescent="0.25">
      <c r="A1085" s="31" t="s">
        <v>880</v>
      </c>
      <c r="B1085" s="31">
        <v>28.060099999999998</v>
      </c>
      <c r="C1085" s="32" t="s">
        <v>11715</v>
      </c>
      <c r="D1085" s="31" t="s">
        <v>11683</v>
      </c>
      <c r="E1085" s="40" t="s">
        <v>11716</v>
      </c>
      <c r="F1085" s="38" t="s">
        <v>9032</v>
      </c>
      <c r="G1085" s="34" t="s">
        <v>9467</v>
      </c>
      <c r="I1085" s="35" t="s">
        <v>11714</v>
      </c>
      <c r="J1085" s="36" t="s">
        <v>880</v>
      </c>
    </row>
    <row r="1086" spans="1:10" x14ac:dyDescent="0.25">
      <c r="A1086" s="31" t="s">
        <v>881</v>
      </c>
      <c r="B1086" s="31">
        <v>28.060199999999998</v>
      </c>
      <c r="C1086" s="32" t="s">
        <v>11717</v>
      </c>
      <c r="D1086" s="31" t="s">
        <v>11683</v>
      </c>
      <c r="E1086" s="40" t="s">
        <v>11718</v>
      </c>
      <c r="F1086" s="38" t="s">
        <v>9032</v>
      </c>
      <c r="G1086" s="34" t="s">
        <v>9467</v>
      </c>
      <c r="I1086" s="35" t="s">
        <v>11714</v>
      </c>
      <c r="J1086" s="36" t="s">
        <v>881</v>
      </c>
    </row>
    <row r="1087" spans="1:10" x14ac:dyDescent="0.25">
      <c r="A1087" s="31" t="s">
        <v>882</v>
      </c>
      <c r="B1087" s="31">
        <v>28.060300000000002</v>
      </c>
      <c r="C1087" s="32" t="s">
        <v>11719</v>
      </c>
      <c r="D1087" s="31" t="s">
        <v>11683</v>
      </c>
      <c r="E1087" s="40" t="s">
        <v>11720</v>
      </c>
      <c r="F1087" s="38" t="s">
        <v>9032</v>
      </c>
      <c r="G1087" s="34" t="s">
        <v>9467</v>
      </c>
      <c r="I1087" s="35" t="s">
        <v>11714</v>
      </c>
      <c r="J1087" s="36" t="s">
        <v>882</v>
      </c>
    </row>
    <row r="1088" spans="1:10" x14ac:dyDescent="0.25">
      <c r="A1088" s="31" t="s">
        <v>883</v>
      </c>
      <c r="B1088" s="31">
        <v>28.060400000000001</v>
      </c>
      <c r="C1088" s="32" t="s">
        <v>11721</v>
      </c>
      <c r="D1088" s="31" t="s">
        <v>11683</v>
      </c>
      <c r="E1088" s="40" t="s">
        <v>11722</v>
      </c>
      <c r="F1088" s="38" t="s">
        <v>9032</v>
      </c>
      <c r="G1088" s="34" t="s">
        <v>9467</v>
      </c>
      <c r="I1088" s="35" t="s">
        <v>11714</v>
      </c>
      <c r="J1088" s="36" t="s">
        <v>883</v>
      </c>
    </row>
    <row r="1089" spans="1:10" x14ac:dyDescent="0.25">
      <c r="A1089" s="31" t="s">
        <v>884</v>
      </c>
      <c r="B1089" s="31">
        <v>28.060500000000001</v>
      </c>
      <c r="C1089" s="32" t="s">
        <v>11723</v>
      </c>
      <c r="D1089" s="31" t="s">
        <v>11683</v>
      </c>
      <c r="E1089" s="40" t="s">
        <v>11724</v>
      </c>
      <c r="F1089" s="38" t="s">
        <v>9032</v>
      </c>
      <c r="G1089" s="34" t="s">
        <v>9467</v>
      </c>
      <c r="I1089" s="35" t="s">
        <v>11714</v>
      </c>
      <c r="J1089" s="36" t="s">
        <v>884</v>
      </c>
    </row>
    <row r="1090" spans="1:10" x14ac:dyDescent="0.25">
      <c r="A1090" s="31" t="s">
        <v>885</v>
      </c>
      <c r="B1090" s="31">
        <v>28.069900000000001</v>
      </c>
      <c r="C1090" s="32" t="s">
        <v>11725</v>
      </c>
      <c r="D1090" s="31" t="s">
        <v>11683</v>
      </c>
      <c r="E1090" s="40" t="s">
        <v>11726</v>
      </c>
      <c r="F1090" s="38" t="s">
        <v>9032</v>
      </c>
      <c r="G1090" s="34" t="s">
        <v>9467</v>
      </c>
      <c r="I1090" s="35" t="s">
        <v>11714</v>
      </c>
      <c r="J1090" s="36" t="s">
        <v>885</v>
      </c>
    </row>
    <row r="1091" spans="1:10" x14ac:dyDescent="0.25">
      <c r="A1091" s="31" t="s">
        <v>886</v>
      </c>
      <c r="B1091" s="31">
        <v>28.07</v>
      </c>
      <c r="C1091" s="32" t="s">
        <v>11727</v>
      </c>
      <c r="D1091" s="31" t="s">
        <v>11683</v>
      </c>
      <c r="E1091" s="40" t="s">
        <v>9468</v>
      </c>
      <c r="F1091" s="38" t="s">
        <v>9032</v>
      </c>
      <c r="G1091" s="34" t="s">
        <v>9468</v>
      </c>
      <c r="H1091" s="34" t="s">
        <v>9468</v>
      </c>
      <c r="I1091" s="35" t="s">
        <v>11727</v>
      </c>
      <c r="J1091" s="36" t="s">
        <v>886</v>
      </c>
    </row>
    <row r="1092" spans="1:10" x14ac:dyDescent="0.25">
      <c r="A1092" s="31" t="s">
        <v>887</v>
      </c>
      <c r="B1092" s="31">
        <v>28.0701</v>
      </c>
      <c r="C1092" s="32" t="s">
        <v>11728</v>
      </c>
      <c r="D1092" s="31" t="s">
        <v>11683</v>
      </c>
      <c r="E1092" s="40" t="s">
        <v>11729</v>
      </c>
      <c r="F1092" s="38" t="s">
        <v>9032</v>
      </c>
      <c r="G1092" s="34" t="s">
        <v>9468</v>
      </c>
      <c r="I1092" s="35" t="s">
        <v>11727</v>
      </c>
      <c r="J1092" s="36" t="s">
        <v>887</v>
      </c>
    </row>
    <row r="1093" spans="1:10" x14ac:dyDescent="0.25">
      <c r="A1093" s="31" t="s">
        <v>888</v>
      </c>
      <c r="B1093" s="31">
        <v>28.0702</v>
      </c>
      <c r="C1093" s="32" t="s">
        <v>11730</v>
      </c>
      <c r="D1093" s="31" t="s">
        <v>11683</v>
      </c>
      <c r="E1093" s="40" t="s">
        <v>11731</v>
      </c>
      <c r="F1093" s="38" t="s">
        <v>9032</v>
      </c>
      <c r="G1093" s="34" t="s">
        <v>9468</v>
      </c>
      <c r="I1093" s="35" t="s">
        <v>11727</v>
      </c>
      <c r="J1093" s="36" t="s">
        <v>888</v>
      </c>
    </row>
    <row r="1094" spans="1:10" x14ac:dyDescent="0.25">
      <c r="A1094" s="31" t="s">
        <v>889</v>
      </c>
      <c r="B1094" s="31">
        <v>28.0703</v>
      </c>
      <c r="C1094" s="32" t="s">
        <v>11732</v>
      </c>
      <c r="D1094" s="31" t="s">
        <v>11683</v>
      </c>
      <c r="E1094" s="40" t="s">
        <v>11733</v>
      </c>
      <c r="F1094" s="38" t="s">
        <v>9032</v>
      </c>
      <c r="G1094" s="34" t="s">
        <v>9468</v>
      </c>
      <c r="I1094" s="35" t="s">
        <v>11727</v>
      </c>
      <c r="J1094" s="36" t="s">
        <v>889</v>
      </c>
    </row>
    <row r="1095" spans="1:10" x14ac:dyDescent="0.25">
      <c r="A1095" s="31" t="s">
        <v>890</v>
      </c>
      <c r="B1095" s="31">
        <v>28.079899999999999</v>
      </c>
      <c r="C1095" s="32" t="s">
        <v>11734</v>
      </c>
      <c r="D1095" s="31" t="s">
        <v>11683</v>
      </c>
      <c r="E1095" s="40" t="s">
        <v>11735</v>
      </c>
      <c r="F1095" s="38" t="s">
        <v>9032</v>
      </c>
      <c r="G1095" s="34" t="s">
        <v>9468</v>
      </c>
      <c r="I1095" s="35" t="s">
        <v>11727</v>
      </c>
      <c r="J1095" s="36" t="s">
        <v>890</v>
      </c>
    </row>
    <row r="1096" spans="1:10" x14ac:dyDescent="0.25">
      <c r="A1096" s="31" t="s">
        <v>1793</v>
      </c>
      <c r="B1096" s="31">
        <v>28.08</v>
      </c>
      <c r="C1096" s="32" t="s">
        <v>11736</v>
      </c>
      <c r="D1096" s="31" t="s">
        <v>11683</v>
      </c>
      <c r="E1096" s="40" t="s">
        <v>9469</v>
      </c>
      <c r="F1096" s="38" t="s">
        <v>9032</v>
      </c>
      <c r="G1096" s="34" t="s">
        <v>9469</v>
      </c>
      <c r="H1096" s="34" t="s">
        <v>9469</v>
      </c>
      <c r="I1096" s="35" t="s">
        <v>11736</v>
      </c>
      <c r="J1096" s="36" t="s">
        <v>1793</v>
      </c>
    </row>
    <row r="1097" spans="1:10" x14ac:dyDescent="0.25">
      <c r="A1097" s="31" t="s">
        <v>1793</v>
      </c>
      <c r="B1097" s="31">
        <v>28.080100000000002</v>
      </c>
      <c r="C1097" s="32" t="s">
        <v>11737</v>
      </c>
      <c r="D1097" s="31" t="s">
        <v>11683</v>
      </c>
      <c r="E1097" s="40" t="s">
        <v>11738</v>
      </c>
      <c r="F1097" s="38" t="s">
        <v>9032</v>
      </c>
      <c r="G1097" s="34" t="s">
        <v>9469</v>
      </c>
      <c r="I1097" s="35" t="s">
        <v>11736</v>
      </c>
      <c r="J1097" s="36" t="s">
        <v>1793</v>
      </c>
    </row>
    <row r="1098" spans="1:10" x14ac:dyDescent="0.25">
      <c r="A1098" s="31" t="s">
        <v>891</v>
      </c>
      <c r="B1098" s="31">
        <v>28.99</v>
      </c>
      <c r="C1098" s="32" t="s">
        <v>11739</v>
      </c>
      <c r="D1098" s="31" t="s">
        <v>11683</v>
      </c>
      <c r="E1098" s="40" t="s">
        <v>9470</v>
      </c>
      <c r="F1098" s="38" t="s">
        <v>9032</v>
      </c>
      <c r="G1098" s="34" t="s">
        <v>9470</v>
      </c>
      <c r="H1098" s="34" t="s">
        <v>9470</v>
      </c>
      <c r="I1098" s="35" t="s">
        <v>11739</v>
      </c>
      <c r="J1098" s="36" t="s">
        <v>891</v>
      </c>
    </row>
    <row r="1099" spans="1:10" x14ac:dyDescent="0.25">
      <c r="A1099" s="31" t="s">
        <v>891</v>
      </c>
      <c r="B1099" s="31">
        <v>28.9999</v>
      </c>
      <c r="C1099" s="32" t="s">
        <v>11740</v>
      </c>
      <c r="D1099" s="31" t="s">
        <v>11683</v>
      </c>
      <c r="E1099" s="40" t="s">
        <v>11741</v>
      </c>
      <c r="F1099" s="38" t="s">
        <v>9032</v>
      </c>
      <c r="G1099" s="34" t="s">
        <v>9470</v>
      </c>
      <c r="I1099" s="35" t="s">
        <v>11739</v>
      </c>
      <c r="J1099" s="36" t="s">
        <v>891</v>
      </c>
    </row>
    <row r="1100" spans="1:10" x14ac:dyDescent="0.25">
      <c r="A1100" s="31" t="s">
        <v>892</v>
      </c>
      <c r="B1100" s="31">
        <v>29</v>
      </c>
      <c r="C1100" s="32" t="s">
        <v>11742</v>
      </c>
      <c r="D1100" s="31" t="s">
        <v>11742</v>
      </c>
      <c r="E1100" s="40" t="s">
        <v>9471</v>
      </c>
      <c r="F1100" s="38" t="s">
        <v>9035</v>
      </c>
      <c r="G1100" s="34" t="s">
        <v>9471</v>
      </c>
      <c r="H1100" s="34" t="s">
        <v>9471</v>
      </c>
      <c r="I1100" s="45" t="s">
        <v>11742</v>
      </c>
      <c r="J1100" s="36" t="s">
        <v>892</v>
      </c>
    </row>
    <row r="1101" spans="1:10" x14ac:dyDescent="0.25">
      <c r="A1101" s="31" t="s">
        <v>893</v>
      </c>
      <c r="B1101" s="31">
        <v>29.02</v>
      </c>
      <c r="C1101" s="32" t="s">
        <v>11743</v>
      </c>
      <c r="D1101" s="31" t="s">
        <v>11742</v>
      </c>
      <c r="E1101" s="40" t="s">
        <v>9472</v>
      </c>
      <c r="F1101" s="38" t="s">
        <v>9035</v>
      </c>
      <c r="G1101" s="34" t="s">
        <v>9472</v>
      </c>
      <c r="H1101" s="34" t="s">
        <v>9472</v>
      </c>
      <c r="I1101" s="44" t="s">
        <v>11743</v>
      </c>
      <c r="J1101" s="36" t="s">
        <v>893</v>
      </c>
    </row>
    <row r="1102" spans="1:10" x14ac:dyDescent="0.25">
      <c r="A1102" s="31" t="s">
        <v>894</v>
      </c>
      <c r="B1102" s="31">
        <v>29.020099999999999</v>
      </c>
      <c r="C1102" s="32" t="s">
        <v>11744</v>
      </c>
      <c r="D1102" s="31" t="s">
        <v>11742</v>
      </c>
      <c r="E1102" s="40" t="s">
        <v>11745</v>
      </c>
      <c r="F1102" s="38" t="s">
        <v>9035</v>
      </c>
      <c r="G1102" s="34" t="s">
        <v>9472</v>
      </c>
      <c r="I1102" s="44" t="s">
        <v>11743</v>
      </c>
      <c r="J1102" s="36" t="s">
        <v>894</v>
      </c>
    </row>
    <row r="1103" spans="1:10" x14ac:dyDescent="0.25">
      <c r="A1103" s="31" t="s">
        <v>895</v>
      </c>
      <c r="B1103" s="31">
        <v>29.020199999999999</v>
      </c>
      <c r="C1103" s="32" t="s">
        <v>11746</v>
      </c>
      <c r="D1103" s="31" t="s">
        <v>11742</v>
      </c>
      <c r="E1103" s="40" t="s">
        <v>11747</v>
      </c>
      <c r="F1103" s="38" t="s">
        <v>9035</v>
      </c>
      <c r="G1103" s="34" t="s">
        <v>9472</v>
      </c>
      <c r="I1103" s="44" t="s">
        <v>11743</v>
      </c>
      <c r="J1103" s="36" t="s">
        <v>895</v>
      </c>
    </row>
    <row r="1104" spans="1:10" x14ac:dyDescent="0.25">
      <c r="A1104" s="31" t="s">
        <v>896</v>
      </c>
      <c r="B1104" s="31">
        <v>29.020299999999999</v>
      </c>
      <c r="C1104" s="32" t="s">
        <v>11748</v>
      </c>
      <c r="D1104" s="31" t="s">
        <v>11742</v>
      </c>
      <c r="E1104" s="40" t="s">
        <v>11749</v>
      </c>
      <c r="F1104" s="38" t="s">
        <v>9035</v>
      </c>
      <c r="G1104" s="34" t="s">
        <v>9472</v>
      </c>
      <c r="I1104" s="44" t="s">
        <v>11743</v>
      </c>
      <c r="J1104" s="36" t="s">
        <v>896</v>
      </c>
    </row>
    <row r="1105" spans="1:10" x14ac:dyDescent="0.25">
      <c r="A1105" s="31" t="s">
        <v>897</v>
      </c>
      <c r="B1105" s="31">
        <v>29.020399999999999</v>
      </c>
      <c r="C1105" s="32" t="s">
        <v>11750</v>
      </c>
      <c r="D1105" s="31" t="s">
        <v>11742</v>
      </c>
      <c r="E1105" s="40" t="s">
        <v>11751</v>
      </c>
      <c r="F1105" s="38" t="s">
        <v>9035</v>
      </c>
      <c r="G1105" s="34" t="s">
        <v>9472</v>
      </c>
      <c r="I1105" s="44" t="s">
        <v>11743</v>
      </c>
      <c r="J1105" s="36" t="s">
        <v>897</v>
      </c>
    </row>
    <row r="1106" spans="1:10" x14ac:dyDescent="0.25">
      <c r="A1106" s="31" t="s">
        <v>898</v>
      </c>
      <c r="B1106" s="31">
        <v>29.020499999999998</v>
      </c>
      <c r="C1106" s="32" t="s">
        <v>11752</v>
      </c>
      <c r="D1106" s="31" t="s">
        <v>11742</v>
      </c>
      <c r="E1106" s="40" t="s">
        <v>11753</v>
      </c>
      <c r="F1106" s="38" t="s">
        <v>9035</v>
      </c>
      <c r="G1106" s="34" t="s">
        <v>9472</v>
      </c>
      <c r="I1106" s="44" t="s">
        <v>11743</v>
      </c>
      <c r="J1106" s="36" t="s">
        <v>898</v>
      </c>
    </row>
    <row r="1107" spans="1:10" x14ac:dyDescent="0.25">
      <c r="A1107" s="31" t="s">
        <v>899</v>
      </c>
      <c r="B1107" s="31">
        <v>29.020600000000002</v>
      </c>
      <c r="C1107" s="32" t="s">
        <v>11754</v>
      </c>
      <c r="D1107" s="31" t="s">
        <v>11742</v>
      </c>
      <c r="E1107" s="40" t="s">
        <v>11755</v>
      </c>
      <c r="F1107" s="38" t="s">
        <v>9035</v>
      </c>
      <c r="G1107" s="34" t="s">
        <v>9472</v>
      </c>
      <c r="I1107" s="44" t="s">
        <v>11743</v>
      </c>
      <c r="J1107" s="36" t="s">
        <v>899</v>
      </c>
    </row>
    <row r="1108" spans="1:10" x14ac:dyDescent="0.25">
      <c r="A1108" s="31" t="s">
        <v>900</v>
      </c>
      <c r="B1108" s="31">
        <v>29.020700000000001</v>
      </c>
      <c r="C1108" s="32" t="s">
        <v>11756</v>
      </c>
      <c r="D1108" s="31" t="s">
        <v>11742</v>
      </c>
      <c r="E1108" s="40" t="s">
        <v>11757</v>
      </c>
      <c r="F1108" s="38" t="s">
        <v>9035</v>
      </c>
      <c r="G1108" s="34" t="s">
        <v>9472</v>
      </c>
      <c r="I1108" s="44" t="s">
        <v>11743</v>
      </c>
      <c r="J1108" s="36" t="s">
        <v>900</v>
      </c>
    </row>
    <row r="1109" spans="1:10" x14ac:dyDescent="0.25">
      <c r="A1109" s="31" t="s">
        <v>901</v>
      </c>
      <c r="B1109" s="31">
        <v>29.029900000000001</v>
      </c>
      <c r="C1109" s="32" t="s">
        <v>11758</v>
      </c>
      <c r="D1109" s="31" t="s">
        <v>11742</v>
      </c>
      <c r="E1109" s="40" t="s">
        <v>11759</v>
      </c>
      <c r="F1109" s="38" t="s">
        <v>9035</v>
      </c>
      <c r="G1109" s="34" t="s">
        <v>9472</v>
      </c>
      <c r="I1109" s="44" t="s">
        <v>11743</v>
      </c>
      <c r="J1109" s="36" t="s">
        <v>901</v>
      </c>
    </row>
    <row r="1110" spans="1:10" x14ac:dyDescent="0.25">
      <c r="A1110" s="31" t="s">
        <v>902</v>
      </c>
      <c r="B1110" s="31">
        <v>29.03</v>
      </c>
      <c r="C1110" s="32" t="s">
        <v>11760</v>
      </c>
      <c r="D1110" s="31" t="s">
        <v>11742</v>
      </c>
      <c r="E1110" s="40" t="s">
        <v>9473</v>
      </c>
      <c r="F1110" s="38" t="s">
        <v>9035</v>
      </c>
      <c r="G1110" s="34" t="s">
        <v>9473</v>
      </c>
      <c r="H1110" s="34" t="s">
        <v>9473</v>
      </c>
      <c r="I1110" s="35" t="s">
        <v>11760</v>
      </c>
      <c r="J1110" s="36" t="s">
        <v>902</v>
      </c>
    </row>
    <row r="1111" spans="1:10" x14ac:dyDescent="0.25">
      <c r="A1111" s="31" t="s">
        <v>903</v>
      </c>
      <c r="B1111" s="31">
        <v>29.030100000000001</v>
      </c>
      <c r="C1111" s="32" t="s">
        <v>11761</v>
      </c>
      <c r="D1111" s="31" t="s">
        <v>11742</v>
      </c>
      <c r="E1111" s="40" t="s">
        <v>11762</v>
      </c>
      <c r="F1111" s="38" t="s">
        <v>9035</v>
      </c>
      <c r="G1111" s="34" t="s">
        <v>9473</v>
      </c>
      <c r="I1111" s="35" t="s">
        <v>11760</v>
      </c>
      <c r="J1111" s="36" t="s">
        <v>903</v>
      </c>
    </row>
    <row r="1112" spans="1:10" x14ac:dyDescent="0.25">
      <c r="A1112" s="31" t="s">
        <v>904</v>
      </c>
      <c r="B1112" s="31">
        <v>29.030200000000001</v>
      </c>
      <c r="C1112" s="32" t="s">
        <v>11763</v>
      </c>
      <c r="D1112" s="31" t="s">
        <v>11742</v>
      </c>
      <c r="E1112" s="40" t="s">
        <v>11764</v>
      </c>
      <c r="F1112" s="38" t="s">
        <v>9035</v>
      </c>
      <c r="G1112" s="34" t="s">
        <v>9473</v>
      </c>
      <c r="I1112" s="35" t="s">
        <v>11760</v>
      </c>
      <c r="J1112" s="36" t="s">
        <v>904</v>
      </c>
    </row>
    <row r="1113" spans="1:10" x14ac:dyDescent="0.25">
      <c r="A1113" s="31" t="s">
        <v>905</v>
      </c>
      <c r="B1113" s="31">
        <v>29.0303</v>
      </c>
      <c r="C1113" s="32" t="s">
        <v>11765</v>
      </c>
      <c r="D1113" s="31" t="s">
        <v>11742</v>
      </c>
      <c r="E1113" s="40" t="s">
        <v>11766</v>
      </c>
      <c r="F1113" s="38" t="s">
        <v>9035</v>
      </c>
      <c r="G1113" s="34" t="s">
        <v>9473</v>
      </c>
      <c r="I1113" s="35" t="s">
        <v>11760</v>
      </c>
      <c r="J1113" s="36" t="s">
        <v>905</v>
      </c>
    </row>
    <row r="1114" spans="1:10" x14ac:dyDescent="0.25">
      <c r="A1114" s="31" t="s">
        <v>906</v>
      </c>
      <c r="B1114" s="31">
        <v>29.0304</v>
      </c>
      <c r="C1114" s="32" t="s">
        <v>11767</v>
      </c>
      <c r="D1114" s="31" t="s">
        <v>11742</v>
      </c>
      <c r="E1114" s="40" t="s">
        <v>11768</v>
      </c>
      <c r="F1114" s="38" t="s">
        <v>9035</v>
      </c>
      <c r="G1114" s="34" t="s">
        <v>9473</v>
      </c>
      <c r="I1114" s="35" t="s">
        <v>11760</v>
      </c>
      <c r="J1114" s="36" t="s">
        <v>906</v>
      </c>
    </row>
    <row r="1115" spans="1:10" x14ac:dyDescent="0.25">
      <c r="A1115" s="31" t="s">
        <v>907</v>
      </c>
      <c r="B1115" s="31">
        <v>29.0305</v>
      </c>
      <c r="C1115" s="32" t="s">
        <v>11769</v>
      </c>
      <c r="D1115" s="31" t="s">
        <v>11742</v>
      </c>
      <c r="E1115" s="40" t="s">
        <v>11770</v>
      </c>
      <c r="F1115" s="38" t="s">
        <v>9035</v>
      </c>
      <c r="G1115" s="34" t="s">
        <v>9473</v>
      </c>
      <c r="I1115" s="35" t="s">
        <v>11760</v>
      </c>
      <c r="J1115" s="36" t="s">
        <v>907</v>
      </c>
    </row>
    <row r="1116" spans="1:10" x14ac:dyDescent="0.25">
      <c r="A1116" s="31" t="s">
        <v>908</v>
      </c>
      <c r="B1116" s="31">
        <v>29.0306</v>
      </c>
      <c r="C1116" s="32" t="s">
        <v>11771</v>
      </c>
      <c r="D1116" s="31" t="s">
        <v>11742</v>
      </c>
      <c r="E1116" s="40" t="s">
        <v>11772</v>
      </c>
      <c r="F1116" s="38" t="s">
        <v>9035</v>
      </c>
      <c r="G1116" s="34" t="s">
        <v>9473</v>
      </c>
      <c r="I1116" s="35" t="s">
        <v>11760</v>
      </c>
      <c r="J1116" s="36" t="s">
        <v>908</v>
      </c>
    </row>
    <row r="1117" spans="1:10" x14ac:dyDescent="0.25">
      <c r="A1117" s="31" t="s">
        <v>909</v>
      </c>
      <c r="B1117" s="31">
        <v>29.0307</v>
      </c>
      <c r="C1117" s="32" t="s">
        <v>11773</v>
      </c>
      <c r="D1117" s="31" t="s">
        <v>11742</v>
      </c>
      <c r="E1117" s="40" t="s">
        <v>11774</v>
      </c>
      <c r="F1117" s="38" t="s">
        <v>9035</v>
      </c>
      <c r="G1117" s="34" t="s">
        <v>9473</v>
      </c>
      <c r="I1117" s="35" t="s">
        <v>11760</v>
      </c>
      <c r="J1117" s="36" t="s">
        <v>909</v>
      </c>
    </row>
    <row r="1118" spans="1:10" x14ac:dyDescent="0.25">
      <c r="A1118" s="31" t="s">
        <v>910</v>
      </c>
      <c r="B1118" s="31">
        <v>29.039899999999999</v>
      </c>
      <c r="C1118" s="32" t="s">
        <v>11775</v>
      </c>
      <c r="D1118" s="31" t="s">
        <v>11742</v>
      </c>
      <c r="E1118" s="40" t="s">
        <v>11776</v>
      </c>
      <c r="F1118" s="38" t="s">
        <v>9035</v>
      </c>
      <c r="G1118" s="34" t="s">
        <v>9473</v>
      </c>
      <c r="I1118" s="35" t="s">
        <v>11760</v>
      </c>
      <c r="J1118" s="36" t="s">
        <v>910</v>
      </c>
    </row>
    <row r="1119" spans="1:10" x14ac:dyDescent="0.25">
      <c r="A1119" s="31" t="s">
        <v>911</v>
      </c>
      <c r="B1119" s="31">
        <v>29.04</v>
      </c>
      <c r="C1119" s="32" t="s">
        <v>11777</v>
      </c>
      <c r="D1119" s="31" t="s">
        <v>11742</v>
      </c>
      <c r="E1119" s="40" t="s">
        <v>9474</v>
      </c>
      <c r="F1119" s="38" t="s">
        <v>9035</v>
      </c>
      <c r="G1119" s="34" t="s">
        <v>9474</v>
      </c>
      <c r="H1119" s="34" t="s">
        <v>9474</v>
      </c>
      <c r="I1119" s="35" t="s">
        <v>11777</v>
      </c>
      <c r="J1119" s="36" t="s">
        <v>911</v>
      </c>
    </row>
    <row r="1120" spans="1:10" x14ac:dyDescent="0.25">
      <c r="A1120" s="31" t="s">
        <v>912</v>
      </c>
      <c r="B1120" s="31">
        <v>29.040099999999999</v>
      </c>
      <c r="C1120" s="32" t="s">
        <v>11778</v>
      </c>
      <c r="D1120" s="31" t="s">
        <v>11742</v>
      </c>
      <c r="E1120" s="40" t="s">
        <v>11779</v>
      </c>
      <c r="F1120" s="38" t="s">
        <v>9035</v>
      </c>
      <c r="G1120" s="34" t="s">
        <v>9474</v>
      </c>
      <c r="I1120" s="35" t="s">
        <v>11777</v>
      </c>
      <c r="J1120" s="36" t="s">
        <v>912</v>
      </c>
    </row>
    <row r="1121" spans="1:10" x14ac:dyDescent="0.25">
      <c r="A1121" s="31" t="s">
        <v>913</v>
      </c>
      <c r="B1121" s="31">
        <v>29.040199999999999</v>
      </c>
      <c r="C1121" s="32" t="s">
        <v>11780</v>
      </c>
      <c r="D1121" s="31" t="s">
        <v>11742</v>
      </c>
      <c r="E1121" s="40" t="s">
        <v>11781</v>
      </c>
      <c r="F1121" s="38" t="s">
        <v>9035</v>
      </c>
      <c r="G1121" s="34" t="s">
        <v>9474</v>
      </c>
      <c r="I1121" s="35" t="s">
        <v>11777</v>
      </c>
      <c r="J1121" s="36" t="s">
        <v>913</v>
      </c>
    </row>
    <row r="1122" spans="1:10" x14ac:dyDescent="0.25">
      <c r="A1122" s="31" t="s">
        <v>914</v>
      </c>
      <c r="B1122" s="31">
        <v>29.040299999999998</v>
      </c>
      <c r="C1122" s="32" t="s">
        <v>11782</v>
      </c>
      <c r="D1122" s="31" t="s">
        <v>11742</v>
      </c>
      <c r="E1122" s="40" t="s">
        <v>11783</v>
      </c>
      <c r="F1122" s="38" t="s">
        <v>9035</v>
      </c>
      <c r="G1122" s="34" t="s">
        <v>9474</v>
      </c>
      <c r="I1122" s="35" t="s">
        <v>11777</v>
      </c>
      <c r="J1122" s="36" t="s">
        <v>914</v>
      </c>
    </row>
    <row r="1123" spans="1:10" x14ac:dyDescent="0.25">
      <c r="A1123" s="31" t="s">
        <v>915</v>
      </c>
      <c r="B1123" s="31">
        <v>29.040400000000002</v>
      </c>
      <c r="C1123" s="32" t="s">
        <v>11784</v>
      </c>
      <c r="D1123" s="31" t="s">
        <v>11742</v>
      </c>
      <c r="E1123" s="40" t="s">
        <v>11785</v>
      </c>
      <c r="F1123" s="38" t="s">
        <v>9035</v>
      </c>
      <c r="G1123" s="34" t="s">
        <v>9474</v>
      </c>
      <c r="I1123" s="35" t="s">
        <v>11777</v>
      </c>
      <c r="J1123" s="36" t="s">
        <v>915</v>
      </c>
    </row>
    <row r="1124" spans="1:10" x14ac:dyDescent="0.25">
      <c r="A1124" s="31" t="s">
        <v>916</v>
      </c>
      <c r="B1124" s="31">
        <v>29.040500000000002</v>
      </c>
      <c r="C1124" s="32" t="s">
        <v>11786</v>
      </c>
      <c r="D1124" s="31" t="s">
        <v>11742</v>
      </c>
      <c r="E1124" s="40" t="s">
        <v>11787</v>
      </c>
      <c r="F1124" s="38" t="s">
        <v>9035</v>
      </c>
      <c r="G1124" s="34" t="s">
        <v>9474</v>
      </c>
      <c r="I1124" s="35" t="s">
        <v>11777</v>
      </c>
      <c r="J1124" s="36" t="s">
        <v>916</v>
      </c>
    </row>
    <row r="1125" spans="1:10" x14ac:dyDescent="0.25">
      <c r="A1125" s="31" t="s">
        <v>917</v>
      </c>
      <c r="B1125" s="31">
        <v>29.040600000000001</v>
      </c>
      <c r="C1125" s="32" t="s">
        <v>11788</v>
      </c>
      <c r="D1125" s="31" t="s">
        <v>11742</v>
      </c>
      <c r="E1125" s="40" t="s">
        <v>11789</v>
      </c>
      <c r="F1125" s="38" t="s">
        <v>9035</v>
      </c>
      <c r="G1125" s="34" t="s">
        <v>9474</v>
      </c>
      <c r="I1125" s="35" t="s">
        <v>11777</v>
      </c>
      <c r="J1125" s="36" t="s">
        <v>917</v>
      </c>
    </row>
    <row r="1126" spans="1:10" x14ac:dyDescent="0.25">
      <c r="A1126" s="31" t="s">
        <v>918</v>
      </c>
      <c r="B1126" s="31">
        <v>29.040700000000001</v>
      </c>
      <c r="C1126" s="32" t="s">
        <v>11790</v>
      </c>
      <c r="D1126" s="31" t="s">
        <v>11742</v>
      </c>
      <c r="E1126" s="40" t="s">
        <v>11791</v>
      </c>
      <c r="F1126" s="38" t="s">
        <v>9035</v>
      </c>
      <c r="G1126" s="34" t="s">
        <v>9474</v>
      </c>
      <c r="I1126" s="35" t="s">
        <v>11777</v>
      </c>
      <c r="J1126" s="36" t="s">
        <v>918</v>
      </c>
    </row>
    <row r="1127" spans="1:10" x14ac:dyDescent="0.25">
      <c r="A1127" s="31" t="s">
        <v>919</v>
      </c>
      <c r="B1127" s="31">
        <v>29.040800000000001</v>
      </c>
      <c r="C1127" s="32" t="s">
        <v>11792</v>
      </c>
      <c r="D1127" s="31" t="s">
        <v>11742</v>
      </c>
      <c r="E1127" s="40" t="s">
        <v>11793</v>
      </c>
      <c r="F1127" s="38" t="s">
        <v>9035</v>
      </c>
      <c r="G1127" s="34" t="s">
        <v>9474</v>
      </c>
      <c r="I1127" s="35" t="s">
        <v>11777</v>
      </c>
      <c r="J1127" s="36" t="s">
        <v>919</v>
      </c>
    </row>
    <row r="1128" spans="1:10" x14ac:dyDescent="0.25">
      <c r="A1128" s="31" t="s">
        <v>920</v>
      </c>
      <c r="B1128" s="31">
        <v>29.040900000000001</v>
      </c>
      <c r="C1128" s="32" t="s">
        <v>11794</v>
      </c>
      <c r="D1128" s="31" t="s">
        <v>11742</v>
      </c>
      <c r="E1128" s="40" t="s">
        <v>11795</v>
      </c>
      <c r="F1128" s="38" t="s">
        <v>9035</v>
      </c>
      <c r="G1128" s="34" t="s">
        <v>9474</v>
      </c>
      <c r="I1128" s="35" t="s">
        <v>11777</v>
      </c>
      <c r="J1128" s="36" t="s">
        <v>920</v>
      </c>
    </row>
    <row r="1129" spans="1:10" x14ac:dyDescent="0.25">
      <c r="A1129" s="31" t="s">
        <v>921</v>
      </c>
      <c r="B1129" s="31">
        <v>29.049900000000001</v>
      </c>
      <c r="C1129" s="32" t="s">
        <v>11796</v>
      </c>
      <c r="D1129" s="31" t="s">
        <v>11742</v>
      </c>
      <c r="E1129" s="40" t="s">
        <v>11797</v>
      </c>
      <c r="F1129" s="38" t="s">
        <v>9035</v>
      </c>
      <c r="G1129" s="34" t="s">
        <v>9474</v>
      </c>
      <c r="I1129" s="35" t="s">
        <v>11777</v>
      </c>
      <c r="J1129" s="36" t="s">
        <v>921</v>
      </c>
    </row>
    <row r="1130" spans="1:10" x14ac:dyDescent="0.25">
      <c r="A1130" s="31" t="s">
        <v>1793</v>
      </c>
      <c r="B1130" s="31">
        <v>29.05</v>
      </c>
      <c r="C1130" s="32" t="s">
        <v>11798</v>
      </c>
      <c r="D1130" s="31" t="s">
        <v>11742</v>
      </c>
      <c r="E1130" s="40" t="s">
        <v>9475</v>
      </c>
      <c r="F1130" s="38" t="s">
        <v>9035</v>
      </c>
      <c r="G1130" s="34" t="s">
        <v>9475</v>
      </c>
      <c r="H1130" s="34" t="s">
        <v>9475</v>
      </c>
      <c r="I1130" s="35" t="s">
        <v>11798</v>
      </c>
      <c r="J1130" s="36" t="s">
        <v>1793</v>
      </c>
    </row>
    <row r="1131" spans="1:10" x14ac:dyDescent="0.25">
      <c r="A1131" s="31" t="s">
        <v>1793</v>
      </c>
      <c r="B1131" s="31">
        <v>29.0501</v>
      </c>
      <c r="C1131" s="32" t="s">
        <v>11799</v>
      </c>
      <c r="D1131" s="31" t="s">
        <v>11742</v>
      </c>
      <c r="E1131" s="40" t="s">
        <v>11800</v>
      </c>
      <c r="F1131" s="38" t="s">
        <v>9035</v>
      </c>
      <c r="G1131" s="34" t="s">
        <v>9475</v>
      </c>
      <c r="I1131" s="35" t="s">
        <v>11798</v>
      </c>
      <c r="J1131" s="36" t="s">
        <v>1793</v>
      </c>
    </row>
    <row r="1132" spans="1:10" x14ac:dyDescent="0.25">
      <c r="A1132" s="31" t="s">
        <v>1955</v>
      </c>
      <c r="B1132" s="31">
        <v>29.06</v>
      </c>
      <c r="C1132" s="32" t="s">
        <v>11801</v>
      </c>
      <c r="D1132" s="31" t="s">
        <v>11742</v>
      </c>
      <c r="E1132" s="40" t="s">
        <v>9476</v>
      </c>
      <c r="F1132" s="38" t="s">
        <v>9035</v>
      </c>
      <c r="G1132" s="34" t="s">
        <v>9476</v>
      </c>
      <c r="H1132" s="34" t="s">
        <v>9476</v>
      </c>
      <c r="I1132" s="35" t="s">
        <v>11801</v>
      </c>
      <c r="J1132" s="36" t="s">
        <v>1955</v>
      </c>
    </row>
    <row r="1133" spans="1:10" x14ac:dyDescent="0.25">
      <c r="A1133" s="31" t="s">
        <v>1955</v>
      </c>
      <c r="B1133" s="31">
        <v>29.060099999999998</v>
      </c>
      <c r="C1133" s="32" t="s">
        <v>11802</v>
      </c>
      <c r="D1133" s="31" t="s">
        <v>11742</v>
      </c>
      <c r="E1133" s="40" t="s">
        <v>11803</v>
      </c>
      <c r="F1133" s="38" t="s">
        <v>9035</v>
      </c>
      <c r="G1133" s="34" t="s">
        <v>9476</v>
      </c>
      <c r="I1133" s="35" t="s">
        <v>11801</v>
      </c>
      <c r="J1133" s="36" t="s">
        <v>1955</v>
      </c>
    </row>
    <row r="1134" spans="1:10" x14ac:dyDescent="0.25">
      <c r="A1134" s="31" t="s">
        <v>922</v>
      </c>
      <c r="B1134" s="31">
        <v>29.99</v>
      </c>
      <c r="C1134" s="32" t="s">
        <v>11804</v>
      </c>
      <c r="D1134" s="31" t="s">
        <v>11742</v>
      </c>
      <c r="E1134" s="40" t="s">
        <v>9477</v>
      </c>
      <c r="F1134" s="38" t="s">
        <v>9035</v>
      </c>
      <c r="G1134" s="34" t="s">
        <v>9477</v>
      </c>
      <c r="H1134" s="34" t="s">
        <v>9477</v>
      </c>
      <c r="I1134" s="35" t="s">
        <v>11804</v>
      </c>
      <c r="J1134" s="36" t="s">
        <v>922</v>
      </c>
    </row>
    <row r="1135" spans="1:10" x14ac:dyDescent="0.25">
      <c r="A1135" s="31" t="s">
        <v>922</v>
      </c>
      <c r="B1135" s="31">
        <v>29.9999</v>
      </c>
      <c r="C1135" s="32" t="s">
        <v>11805</v>
      </c>
      <c r="D1135" s="31" t="s">
        <v>11742</v>
      </c>
      <c r="E1135" s="40" t="s">
        <v>11806</v>
      </c>
      <c r="F1135" s="38" t="s">
        <v>9035</v>
      </c>
      <c r="G1135" s="34" t="s">
        <v>9477</v>
      </c>
      <c r="I1135" s="35" t="s">
        <v>11804</v>
      </c>
      <c r="J1135" s="36" t="s">
        <v>922</v>
      </c>
    </row>
    <row r="1136" spans="1:10" x14ac:dyDescent="0.25">
      <c r="A1136" s="31" t="s">
        <v>924</v>
      </c>
      <c r="B1136" s="31">
        <v>30</v>
      </c>
      <c r="C1136" s="32" t="s">
        <v>11807</v>
      </c>
      <c r="D1136" s="31" t="s">
        <v>11808</v>
      </c>
      <c r="E1136" s="40" t="s">
        <v>9478</v>
      </c>
      <c r="F1136" s="38" t="s">
        <v>9039</v>
      </c>
      <c r="G1136" s="34" t="s">
        <v>9478</v>
      </c>
      <c r="H1136" s="34" t="s">
        <v>9478</v>
      </c>
      <c r="I1136" s="44" t="s">
        <v>11807</v>
      </c>
      <c r="J1136" s="36" t="s">
        <v>924</v>
      </c>
    </row>
    <row r="1137" spans="1:10" x14ac:dyDescent="0.25">
      <c r="A1137" s="31" t="s">
        <v>924</v>
      </c>
      <c r="B1137" s="31">
        <v>30</v>
      </c>
      <c r="C1137" s="32" t="s">
        <v>11809</v>
      </c>
      <c r="D1137" s="31" t="s">
        <v>11808</v>
      </c>
      <c r="E1137" s="40" t="s">
        <v>11810</v>
      </c>
      <c r="F1137" s="38" t="s">
        <v>9039</v>
      </c>
      <c r="G1137" s="34" t="s">
        <v>9478</v>
      </c>
      <c r="I1137" s="44" t="s">
        <v>11807</v>
      </c>
      <c r="J1137" s="36" t="s">
        <v>924</v>
      </c>
    </row>
    <row r="1138" spans="1:10" x14ac:dyDescent="0.25">
      <c r="A1138" s="31" t="s">
        <v>923</v>
      </c>
      <c r="B1138" s="31">
        <v>30</v>
      </c>
      <c r="C1138" s="32" t="s">
        <v>11808</v>
      </c>
      <c r="D1138" s="31" t="s">
        <v>11808</v>
      </c>
      <c r="E1138" s="40" t="s">
        <v>9479</v>
      </c>
      <c r="F1138" s="38" t="s">
        <v>9039</v>
      </c>
      <c r="G1138" s="34" t="s">
        <v>9479</v>
      </c>
      <c r="H1138" s="34" t="s">
        <v>9479</v>
      </c>
      <c r="I1138" s="45" t="s">
        <v>11808</v>
      </c>
      <c r="J1138" s="36" t="s">
        <v>923</v>
      </c>
    </row>
    <row r="1139" spans="1:10" x14ac:dyDescent="0.25">
      <c r="A1139" s="31" t="s">
        <v>1956</v>
      </c>
      <c r="B1139" s="31">
        <v>30.0001</v>
      </c>
      <c r="C1139" s="32" t="s">
        <v>11811</v>
      </c>
      <c r="D1139" s="31" t="s">
        <v>11808</v>
      </c>
      <c r="E1139" s="40" t="s">
        <v>11812</v>
      </c>
      <c r="F1139" s="38" t="s">
        <v>9039</v>
      </c>
      <c r="G1139" s="34" t="s">
        <v>9478</v>
      </c>
      <c r="I1139" s="44" t="s">
        <v>11807</v>
      </c>
      <c r="J1139" s="36" t="s">
        <v>1956</v>
      </c>
    </row>
    <row r="1140" spans="1:10" x14ac:dyDescent="0.25">
      <c r="A1140" s="31" t="s">
        <v>925</v>
      </c>
      <c r="B1140" s="31">
        <v>30.01</v>
      </c>
      <c r="C1140" s="32" t="s">
        <v>11813</v>
      </c>
      <c r="D1140" s="31" t="s">
        <v>11808</v>
      </c>
      <c r="E1140" s="40" t="s">
        <v>9480</v>
      </c>
      <c r="F1140" s="38" t="s">
        <v>9039</v>
      </c>
      <c r="G1140" s="34" t="s">
        <v>9480</v>
      </c>
      <c r="H1140" s="34" t="s">
        <v>9480</v>
      </c>
      <c r="I1140" s="44" t="s">
        <v>11813</v>
      </c>
      <c r="J1140" s="36" t="s">
        <v>925</v>
      </c>
    </row>
    <row r="1141" spans="1:10" x14ac:dyDescent="0.25">
      <c r="A1141" s="31" t="s">
        <v>925</v>
      </c>
      <c r="B1141" s="31">
        <v>30.010100000000001</v>
      </c>
      <c r="C1141" s="32" t="s">
        <v>11814</v>
      </c>
      <c r="D1141" s="31" t="s">
        <v>11808</v>
      </c>
      <c r="E1141" s="40" t="s">
        <v>11815</v>
      </c>
      <c r="F1141" s="38" t="s">
        <v>9039</v>
      </c>
      <c r="G1141" s="34" t="s">
        <v>9480</v>
      </c>
      <c r="I1141" s="44" t="s">
        <v>11813</v>
      </c>
      <c r="J1141" s="36" t="s">
        <v>925</v>
      </c>
    </row>
    <row r="1142" spans="1:10" x14ac:dyDescent="0.25">
      <c r="A1142" s="31" t="s">
        <v>926</v>
      </c>
      <c r="B1142" s="31">
        <v>30.05</v>
      </c>
      <c r="C1142" s="32" t="s">
        <v>11816</v>
      </c>
      <c r="D1142" s="31" t="s">
        <v>11808</v>
      </c>
      <c r="E1142" s="40" t="s">
        <v>9481</v>
      </c>
      <c r="F1142" s="38" t="s">
        <v>9039</v>
      </c>
      <c r="G1142" s="34" t="s">
        <v>9481</v>
      </c>
      <c r="H1142" s="34" t="s">
        <v>9481</v>
      </c>
      <c r="I1142" s="44" t="s">
        <v>11816</v>
      </c>
      <c r="J1142" s="36" t="s">
        <v>926</v>
      </c>
    </row>
    <row r="1143" spans="1:10" x14ac:dyDescent="0.25">
      <c r="A1143" s="31" t="s">
        <v>926</v>
      </c>
      <c r="B1143" s="31">
        <v>30.0501</v>
      </c>
      <c r="C1143" s="32" t="s">
        <v>11817</v>
      </c>
      <c r="D1143" s="31" t="s">
        <v>11808</v>
      </c>
      <c r="E1143" s="40" t="s">
        <v>11818</v>
      </c>
      <c r="F1143" s="38" t="s">
        <v>9039</v>
      </c>
      <c r="G1143" s="34" t="s">
        <v>9481</v>
      </c>
      <c r="I1143" s="44" t="s">
        <v>11816</v>
      </c>
      <c r="J1143" s="36" t="s">
        <v>926</v>
      </c>
    </row>
    <row r="1144" spans="1:10" x14ac:dyDescent="0.25">
      <c r="A1144" s="31" t="s">
        <v>927</v>
      </c>
      <c r="B1144" s="31">
        <v>30.06</v>
      </c>
      <c r="C1144" s="32" t="s">
        <v>11819</v>
      </c>
      <c r="D1144" s="31" t="s">
        <v>11808</v>
      </c>
      <c r="E1144" s="40" t="s">
        <v>9482</v>
      </c>
      <c r="F1144" s="38" t="s">
        <v>9039</v>
      </c>
      <c r="G1144" s="34" t="s">
        <v>9482</v>
      </c>
      <c r="H1144" s="34" t="s">
        <v>9482</v>
      </c>
      <c r="I1144" s="44" t="s">
        <v>11819</v>
      </c>
      <c r="J1144" s="36" t="s">
        <v>927</v>
      </c>
    </row>
    <row r="1145" spans="1:10" x14ac:dyDescent="0.25">
      <c r="A1145" s="31" t="s">
        <v>927</v>
      </c>
      <c r="B1145" s="31">
        <v>30.060099999999998</v>
      </c>
      <c r="C1145" s="32" t="s">
        <v>11820</v>
      </c>
      <c r="D1145" s="31" t="s">
        <v>11808</v>
      </c>
      <c r="E1145" s="40" t="s">
        <v>11821</v>
      </c>
      <c r="F1145" s="38" t="s">
        <v>9039</v>
      </c>
      <c r="G1145" s="34" t="s">
        <v>9482</v>
      </c>
      <c r="I1145" s="44" t="s">
        <v>11819</v>
      </c>
      <c r="J1145" s="36" t="s">
        <v>927</v>
      </c>
    </row>
    <row r="1146" spans="1:10" x14ac:dyDescent="0.25">
      <c r="A1146" s="31" t="s">
        <v>928</v>
      </c>
      <c r="B1146" s="31">
        <v>30.08</v>
      </c>
      <c r="C1146" s="32" t="s">
        <v>11822</v>
      </c>
      <c r="D1146" s="31" t="s">
        <v>11808</v>
      </c>
      <c r="E1146" s="40" t="s">
        <v>9483</v>
      </c>
      <c r="F1146" s="38" t="s">
        <v>9039</v>
      </c>
      <c r="G1146" s="34" t="s">
        <v>9483</v>
      </c>
      <c r="H1146" s="34" t="s">
        <v>9483</v>
      </c>
      <c r="I1146" s="44" t="s">
        <v>11822</v>
      </c>
      <c r="J1146" s="36" t="s">
        <v>928</v>
      </c>
    </row>
    <row r="1147" spans="1:10" x14ac:dyDescent="0.25">
      <c r="A1147" s="31" t="s">
        <v>928</v>
      </c>
      <c r="B1147" s="31">
        <v>30.080100000000002</v>
      </c>
      <c r="C1147" s="32" t="s">
        <v>11823</v>
      </c>
      <c r="D1147" s="31" t="s">
        <v>11808</v>
      </c>
      <c r="E1147" s="40" t="s">
        <v>11824</v>
      </c>
      <c r="F1147" s="38" t="s">
        <v>9039</v>
      </c>
      <c r="G1147" s="34" t="s">
        <v>9483</v>
      </c>
      <c r="I1147" s="44" t="s">
        <v>11822</v>
      </c>
      <c r="J1147" s="36" t="s">
        <v>928</v>
      </c>
    </row>
    <row r="1148" spans="1:10" x14ac:dyDescent="0.25">
      <c r="A1148" s="31" t="s">
        <v>929</v>
      </c>
      <c r="B1148" s="31">
        <v>30.1</v>
      </c>
      <c r="C1148" s="32" t="s">
        <v>11825</v>
      </c>
      <c r="D1148" s="31" t="s">
        <v>11808</v>
      </c>
      <c r="E1148" s="40" t="s">
        <v>9484</v>
      </c>
      <c r="F1148" s="38" t="s">
        <v>9039</v>
      </c>
      <c r="G1148" s="34" t="s">
        <v>9484</v>
      </c>
      <c r="H1148" s="34" t="s">
        <v>9484</v>
      </c>
      <c r="I1148" s="44" t="s">
        <v>11825</v>
      </c>
      <c r="J1148" s="36" t="s">
        <v>929</v>
      </c>
    </row>
    <row r="1149" spans="1:10" x14ac:dyDescent="0.25">
      <c r="A1149" s="31" t="s">
        <v>929</v>
      </c>
      <c r="B1149" s="31">
        <v>30.100100000000001</v>
      </c>
      <c r="C1149" s="32" t="s">
        <v>11826</v>
      </c>
      <c r="D1149" s="31" t="s">
        <v>11808</v>
      </c>
      <c r="E1149" s="40" t="s">
        <v>11827</v>
      </c>
      <c r="F1149" s="38" t="s">
        <v>9039</v>
      </c>
      <c r="G1149" s="34" t="s">
        <v>9484</v>
      </c>
      <c r="I1149" s="44" t="s">
        <v>11825</v>
      </c>
      <c r="J1149" s="36" t="s">
        <v>929</v>
      </c>
    </row>
    <row r="1150" spans="1:10" x14ac:dyDescent="0.25">
      <c r="A1150" s="31" t="s">
        <v>930</v>
      </c>
      <c r="B1150" s="31">
        <v>30.11</v>
      </c>
      <c r="C1150" s="32" t="s">
        <v>11828</v>
      </c>
      <c r="D1150" s="31" t="s">
        <v>11808</v>
      </c>
      <c r="E1150" s="40" t="s">
        <v>9485</v>
      </c>
      <c r="F1150" s="38" t="s">
        <v>9039</v>
      </c>
      <c r="G1150" s="34" t="s">
        <v>9485</v>
      </c>
      <c r="H1150" s="34" t="s">
        <v>9485</v>
      </c>
      <c r="I1150" s="44" t="s">
        <v>11828</v>
      </c>
      <c r="J1150" s="36" t="s">
        <v>930</v>
      </c>
    </row>
    <row r="1151" spans="1:10" x14ac:dyDescent="0.25">
      <c r="A1151" s="31" t="s">
        <v>930</v>
      </c>
      <c r="B1151" s="31">
        <v>30.110099999999999</v>
      </c>
      <c r="C1151" s="32" t="s">
        <v>11829</v>
      </c>
      <c r="D1151" s="31" t="s">
        <v>11808</v>
      </c>
      <c r="E1151" s="40" t="s">
        <v>11830</v>
      </c>
      <c r="F1151" s="38" t="s">
        <v>9039</v>
      </c>
      <c r="G1151" s="34" t="s">
        <v>9485</v>
      </c>
      <c r="I1151" s="44" t="s">
        <v>11828</v>
      </c>
      <c r="J1151" s="36" t="s">
        <v>930</v>
      </c>
    </row>
    <row r="1152" spans="1:10" x14ac:dyDescent="0.25">
      <c r="A1152" s="31" t="s">
        <v>931</v>
      </c>
      <c r="B1152" s="31">
        <v>30.12</v>
      </c>
      <c r="C1152" s="32" t="s">
        <v>11831</v>
      </c>
      <c r="D1152" s="31" t="s">
        <v>11808</v>
      </c>
      <c r="E1152" s="40" t="s">
        <v>9486</v>
      </c>
      <c r="F1152" s="38" t="s">
        <v>9039</v>
      </c>
      <c r="G1152" s="34" t="s">
        <v>9486</v>
      </c>
      <c r="H1152" s="34" t="s">
        <v>9486</v>
      </c>
      <c r="I1152" s="35" t="s">
        <v>11831</v>
      </c>
      <c r="J1152" s="36" t="s">
        <v>931</v>
      </c>
    </row>
    <row r="1153" spans="1:10" x14ac:dyDescent="0.25">
      <c r="A1153" s="31" t="s">
        <v>1957</v>
      </c>
      <c r="B1153" s="31">
        <v>30.120100000000001</v>
      </c>
      <c r="C1153" s="32" t="s">
        <v>11832</v>
      </c>
      <c r="D1153" s="31" t="s">
        <v>11808</v>
      </c>
      <c r="E1153" s="40" t="s">
        <v>11833</v>
      </c>
      <c r="F1153" s="38" t="s">
        <v>9039</v>
      </c>
      <c r="G1153" s="34" t="s">
        <v>9486</v>
      </c>
      <c r="I1153" s="35" t="s">
        <v>11831</v>
      </c>
      <c r="J1153" s="36" t="s">
        <v>1957</v>
      </c>
    </row>
    <row r="1154" spans="1:10" x14ac:dyDescent="0.25">
      <c r="A1154" s="31" t="s">
        <v>932</v>
      </c>
      <c r="B1154" s="31">
        <v>30.120200000000001</v>
      </c>
      <c r="C1154" s="32" t="s">
        <v>11834</v>
      </c>
      <c r="D1154" s="31" t="s">
        <v>11808</v>
      </c>
      <c r="E1154" s="40" t="s">
        <v>11835</v>
      </c>
      <c r="F1154" s="38" t="s">
        <v>9039</v>
      </c>
      <c r="G1154" s="34" t="s">
        <v>9486</v>
      </c>
      <c r="I1154" s="35" t="s">
        <v>11831</v>
      </c>
      <c r="J1154" s="36" t="s">
        <v>932</v>
      </c>
    </row>
    <row r="1155" spans="1:10" x14ac:dyDescent="0.25">
      <c r="A1155" s="31" t="s">
        <v>933</v>
      </c>
      <c r="B1155" s="31">
        <v>30.129899999999999</v>
      </c>
      <c r="C1155" s="32" t="s">
        <v>11836</v>
      </c>
      <c r="D1155" s="31" t="s">
        <v>11808</v>
      </c>
      <c r="E1155" s="40" t="s">
        <v>11837</v>
      </c>
      <c r="F1155" s="38" t="s">
        <v>9039</v>
      </c>
      <c r="G1155" s="34" t="s">
        <v>9486</v>
      </c>
      <c r="I1155" s="35" t="s">
        <v>11831</v>
      </c>
      <c r="J1155" s="36" t="s">
        <v>933</v>
      </c>
    </row>
    <row r="1156" spans="1:10" x14ac:dyDescent="0.25">
      <c r="A1156" s="31" t="s">
        <v>934</v>
      </c>
      <c r="B1156" s="31">
        <v>30.13</v>
      </c>
      <c r="C1156" s="32" t="s">
        <v>11838</v>
      </c>
      <c r="D1156" s="31" t="s">
        <v>11808</v>
      </c>
      <c r="E1156" s="40" t="s">
        <v>9487</v>
      </c>
      <c r="F1156" s="38" t="s">
        <v>9039</v>
      </c>
      <c r="G1156" s="34" t="s">
        <v>9487</v>
      </c>
      <c r="H1156" s="34" t="s">
        <v>9487</v>
      </c>
      <c r="I1156" s="35" t="s">
        <v>11838</v>
      </c>
      <c r="J1156" s="36" t="s">
        <v>934</v>
      </c>
    </row>
    <row r="1157" spans="1:10" x14ac:dyDescent="0.25">
      <c r="A1157" s="31" t="s">
        <v>934</v>
      </c>
      <c r="B1157" s="31">
        <v>30.130099999999999</v>
      </c>
      <c r="C1157" s="32" t="s">
        <v>11839</v>
      </c>
      <c r="D1157" s="31" t="s">
        <v>11808</v>
      </c>
      <c r="E1157" s="40" t="s">
        <v>11840</v>
      </c>
      <c r="F1157" s="38" t="s">
        <v>9039</v>
      </c>
      <c r="G1157" s="34" t="s">
        <v>9488</v>
      </c>
      <c r="H1157" s="34" t="s">
        <v>9488</v>
      </c>
      <c r="I1157" s="44" t="s">
        <v>11841</v>
      </c>
      <c r="J1157" s="36" t="s">
        <v>934</v>
      </c>
    </row>
    <row r="1158" spans="1:10" x14ac:dyDescent="0.25">
      <c r="A1158" s="31" t="s">
        <v>935</v>
      </c>
      <c r="B1158" s="31">
        <v>30.14</v>
      </c>
      <c r="C1158" s="32" t="s">
        <v>11841</v>
      </c>
      <c r="D1158" s="31" t="s">
        <v>11808</v>
      </c>
      <c r="E1158" s="40" t="s">
        <v>11842</v>
      </c>
      <c r="F1158" s="38" t="s">
        <v>9039</v>
      </c>
      <c r="G1158" s="34" t="s">
        <v>9488</v>
      </c>
      <c r="I1158" s="44" t="s">
        <v>11841</v>
      </c>
      <c r="J1158" s="36" t="s">
        <v>935</v>
      </c>
    </row>
    <row r="1159" spans="1:10" x14ac:dyDescent="0.25">
      <c r="A1159" s="31" t="s">
        <v>935</v>
      </c>
      <c r="B1159" s="31">
        <v>30.1401</v>
      </c>
      <c r="C1159" s="32" t="s">
        <v>11843</v>
      </c>
      <c r="D1159" s="31" t="s">
        <v>11808</v>
      </c>
      <c r="E1159" s="40" t="s">
        <v>11844</v>
      </c>
      <c r="F1159" s="38" t="s">
        <v>9039</v>
      </c>
      <c r="G1159" s="34" t="s">
        <v>9488</v>
      </c>
      <c r="I1159" s="44" t="s">
        <v>11841</v>
      </c>
      <c r="J1159" s="36" t="s">
        <v>935</v>
      </c>
    </row>
    <row r="1160" spans="1:10" x14ac:dyDescent="0.25">
      <c r="A1160" s="31" t="s">
        <v>936</v>
      </c>
      <c r="B1160" s="31">
        <v>30.15</v>
      </c>
      <c r="C1160" s="32" t="s">
        <v>11845</v>
      </c>
      <c r="D1160" s="31" t="s">
        <v>11808</v>
      </c>
      <c r="E1160" s="40" t="s">
        <v>9489</v>
      </c>
      <c r="F1160" s="38" t="s">
        <v>9039</v>
      </c>
      <c r="G1160" s="34" t="s">
        <v>9489</v>
      </c>
      <c r="H1160" s="34" t="s">
        <v>9489</v>
      </c>
      <c r="I1160" s="44" t="s">
        <v>11845</v>
      </c>
      <c r="J1160" s="36" t="s">
        <v>936</v>
      </c>
    </row>
    <row r="1161" spans="1:10" x14ac:dyDescent="0.25">
      <c r="A1161" s="31" t="s">
        <v>936</v>
      </c>
      <c r="B1161" s="31">
        <v>30.150099999999998</v>
      </c>
      <c r="C1161" s="32" t="s">
        <v>11846</v>
      </c>
      <c r="D1161" s="31" t="s">
        <v>11808</v>
      </c>
      <c r="E1161" s="40" t="s">
        <v>11847</v>
      </c>
      <c r="F1161" s="38" t="s">
        <v>9039</v>
      </c>
      <c r="G1161" s="34" t="s">
        <v>9489</v>
      </c>
      <c r="I1161" s="44" t="s">
        <v>11845</v>
      </c>
      <c r="J1161" s="36" t="s">
        <v>936</v>
      </c>
    </row>
    <row r="1162" spans="1:10" x14ac:dyDescent="0.25">
      <c r="A1162" s="31" t="s">
        <v>937</v>
      </c>
      <c r="B1162" s="31">
        <v>30.16</v>
      </c>
      <c r="C1162" s="32" t="s">
        <v>11848</v>
      </c>
      <c r="D1162" s="31" t="s">
        <v>11808</v>
      </c>
      <c r="E1162" s="40" t="s">
        <v>9490</v>
      </c>
      <c r="F1162" s="38" t="s">
        <v>9039</v>
      </c>
      <c r="G1162" s="34" t="s">
        <v>9490</v>
      </c>
      <c r="H1162" s="34" t="s">
        <v>9490</v>
      </c>
      <c r="I1162" s="35" t="s">
        <v>11848</v>
      </c>
      <c r="J1162" s="36" t="s">
        <v>937</v>
      </c>
    </row>
    <row r="1163" spans="1:10" x14ac:dyDescent="0.25">
      <c r="A1163" s="31" t="s">
        <v>937</v>
      </c>
      <c r="B1163" s="31">
        <v>30.1601</v>
      </c>
      <c r="C1163" s="32" t="s">
        <v>11849</v>
      </c>
      <c r="D1163" s="31" t="s">
        <v>11808</v>
      </c>
      <c r="E1163" s="40" t="s">
        <v>11850</v>
      </c>
      <c r="F1163" s="38" t="s">
        <v>9039</v>
      </c>
      <c r="G1163" s="34" t="s">
        <v>9490</v>
      </c>
      <c r="I1163" s="35" t="s">
        <v>11848</v>
      </c>
      <c r="J1163" s="36" t="s">
        <v>937</v>
      </c>
    </row>
    <row r="1164" spans="1:10" x14ac:dyDescent="0.25">
      <c r="A1164" s="31" t="s">
        <v>938</v>
      </c>
      <c r="B1164" s="31">
        <v>30.17</v>
      </c>
      <c r="C1164" s="32" t="s">
        <v>11851</v>
      </c>
      <c r="D1164" s="31" t="s">
        <v>11808</v>
      </c>
      <c r="E1164" s="40" t="s">
        <v>9491</v>
      </c>
      <c r="F1164" s="38" t="s">
        <v>9039</v>
      </c>
      <c r="G1164" s="34" t="s">
        <v>9491</v>
      </c>
      <c r="H1164" s="34" t="s">
        <v>9491</v>
      </c>
      <c r="I1164" s="44" t="s">
        <v>11851</v>
      </c>
      <c r="J1164" s="36" t="s">
        <v>938</v>
      </c>
    </row>
    <row r="1165" spans="1:10" x14ac:dyDescent="0.25">
      <c r="A1165" s="31" t="s">
        <v>938</v>
      </c>
      <c r="B1165" s="31">
        <v>30.170100000000001</v>
      </c>
      <c r="C1165" s="32" t="s">
        <v>11852</v>
      </c>
      <c r="D1165" s="31" t="s">
        <v>11808</v>
      </c>
      <c r="E1165" s="40" t="s">
        <v>11853</v>
      </c>
      <c r="F1165" s="38" t="s">
        <v>9039</v>
      </c>
      <c r="G1165" s="34" t="s">
        <v>9491</v>
      </c>
      <c r="I1165" s="44" t="s">
        <v>11851</v>
      </c>
      <c r="J1165" s="36" t="s">
        <v>938</v>
      </c>
    </row>
    <row r="1166" spans="1:10" x14ac:dyDescent="0.25">
      <c r="A1166" s="31" t="s">
        <v>939</v>
      </c>
      <c r="B1166" s="31">
        <v>30.18</v>
      </c>
      <c r="C1166" s="32" t="s">
        <v>11854</v>
      </c>
      <c r="D1166" s="31" t="s">
        <v>11808</v>
      </c>
      <c r="E1166" s="40" t="s">
        <v>9492</v>
      </c>
      <c r="F1166" s="38" t="s">
        <v>9039</v>
      </c>
      <c r="G1166" s="34" t="s">
        <v>9492</v>
      </c>
      <c r="H1166" s="34" t="s">
        <v>9492</v>
      </c>
      <c r="I1166" s="44" t="s">
        <v>11854</v>
      </c>
      <c r="J1166" s="36" t="s">
        <v>939</v>
      </c>
    </row>
    <row r="1167" spans="1:10" x14ac:dyDescent="0.25">
      <c r="A1167" s="31" t="s">
        <v>939</v>
      </c>
      <c r="B1167" s="31">
        <v>30.180099999999999</v>
      </c>
      <c r="C1167" s="32" t="s">
        <v>11855</v>
      </c>
      <c r="D1167" s="31" t="s">
        <v>11808</v>
      </c>
      <c r="E1167" s="40" t="s">
        <v>11856</v>
      </c>
      <c r="F1167" s="38" t="s">
        <v>9039</v>
      </c>
      <c r="G1167" s="34" t="s">
        <v>9492</v>
      </c>
      <c r="I1167" s="44" t="s">
        <v>11854</v>
      </c>
      <c r="J1167" s="36" t="s">
        <v>939</v>
      </c>
    </row>
    <row r="1168" spans="1:10" x14ac:dyDescent="0.25">
      <c r="A1168" s="31" t="s">
        <v>940</v>
      </c>
      <c r="B1168" s="31">
        <v>30.19</v>
      </c>
      <c r="C1168" s="32" t="s">
        <v>11857</v>
      </c>
      <c r="D1168" s="31" t="s">
        <v>11808</v>
      </c>
      <c r="E1168" s="40" t="s">
        <v>9493</v>
      </c>
      <c r="F1168" s="38" t="s">
        <v>9039</v>
      </c>
      <c r="G1168" s="34" t="s">
        <v>9493</v>
      </c>
      <c r="H1168" s="34" t="s">
        <v>9493</v>
      </c>
      <c r="I1168" s="44" t="s">
        <v>11857</v>
      </c>
      <c r="J1168" s="36" t="s">
        <v>940</v>
      </c>
    </row>
    <row r="1169" spans="1:10" x14ac:dyDescent="0.25">
      <c r="A1169" s="31" t="s">
        <v>940</v>
      </c>
      <c r="B1169" s="31">
        <v>30.190100000000001</v>
      </c>
      <c r="C1169" s="32" t="s">
        <v>11858</v>
      </c>
      <c r="D1169" s="31" t="s">
        <v>11808</v>
      </c>
      <c r="E1169" s="40" t="s">
        <v>11859</v>
      </c>
      <c r="F1169" s="38" t="s">
        <v>9039</v>
      </c>
      <c r="G1169" s="34" t="s">
        <v>9493</v>
      </c>
      <c r="I1169" s="44" t="s">
        <v>11857</v>
      </c>
      <c r="J1169" s="36" t="s">
        <v>940</v>
      </c>
    </row>
    <row r="1170" spans="1:10" x14ac:dyDescent="0.25">
      <c r="A1170" s="31" t="s">
        <v>1958</v>
      </c>
      <c r="B1170" s="31">
        <v>30.2</v>
      </c>
      <c r="C1170" s="32" t="s">
        <v>11860</v>
      </c>
      <c r="D1170" s="31" t="s">
        <v>11808</v>
      </c>
      <c r="E1170" s="40" t="s">
        <v>9494</v>
      </c>
      <c r="F1170" s="38" t="s">
        <v>9039</v>
      </c>
      <c r="G1170" s="34" t="s">
        <v>9494</v>
      </c>
      <c r="H1170" s="34" t="s">
        <v>9494</v>
      </c>
      <c r="I1170" s="44" t="s">
        <v>11860</v>
      </c>
      <c r="J1170" s="36" t="s">
        <v>1958</v>
      </c>
    </row>
    <row r="1171" spans="1:10" x14ac:dyDescent="0.25">
      <c r="A1171" s="31" t="s">
        <v>1958</v>
      </c>
      <c r="B1171" s="31">
        <v>30.200099999999999</v>
      </c>
      <c r="C1171" s="32" t="s">
        <v>11861</v>
      </c>
      <c r="D1171" s="31" t="s">
        <v>11808</v>
      </c>
      <c r="E1171" s="40" t="s">
        <v>11862</v>
      </c>
      <c r="F1171" s="38" t="s">
        <v>9039</v>
      </c>
      <c r="G1171" s="34" t="s">
        <v>9494</v>
      </c>
      <c r="I1171" s="44" t="s">
        <v>11860</v>
      </c>
      <c r="J1171" s="36" t="s">
        <v>1958</v>
      </c>
    </row>
    <row r="1172" spans="1:10" x14ac:dyDescent="0.25">
      <c r="A1172" s="31" t="s">
        <v>941</v>
      </c>
      <c r="B1172" s="31">
        <v>30.21</v>
      </c>
      <c r="C1172" s="32" t="s">
        <v>11863</v>
      </c>
      <c r="D1172" s="31" t="s">
        <v>11808</v>
      </c>
      <c r="E1172" s="40" t="s">
        <v>9495</v>
      </c>
      <c r="F1172" s="38" t="s">
        <v>9039</v>
      </c>
      <c r="G1172" s="34" t="s">
        <v>9495</v>
      </c>
      <c r="H1172" s="34" t="s">
        <v>9495</v>
      </c>
      <c r="I1172" s="35" t="s">
        <v>11863</v>
      </c>
      <c r="J1172" s="36" t="s">
        <v>941</v>
      </c>
    </row>
    <row r="1173" spans="1:10" x14ac:dyDescent="0.25">
      <c r="A1173" s="31" t="s">
        <v>941</v>
      </c>
      <c r="B1173" s="31">
        <v>30.210100000000001</v>
      </c>
      <c r="C1173" s="32" t="s">
        <v>11864</v>
      </c>
      <c r="D1173" s="31" t="s">
        <v>11808</v>
      </c>
      <c r="E1173" s="40" t="s">
        <v>11865</v>
      </c>
      <c r="F1173" s="38" t="s">
        <v>9039</v>
      </c>
      <c r="G1173" s="34" t="s">
        <v>9495</v>
      </c>
      <c r="I1173" s="35" t="s">
        <v>11863</v>
      </c>
      <c r="J1173" s="36" t="s">
        <v>941</v>
      </c>
    </row>
    <row r="1174" spans="1:10" x14ac:dyDescent="0.25">
      <c r="A1174" s="31" t="s">
        <v>942</v>
      </c>
      <c r="B1174" s="31">
        <v>30.22</v>
      </c>
      <c r="C1174" s="32" t="s">
        <v>11866</v>
      </c>
      <c r="D1174" s="31" t="s">
        <v>11808</v>
      </c>
      <c r="E1174" s="40" t="s">
        <v>9496</v>
      </c>
      <c r="F1174" s="38" t="s">
        <v>9039</v>
      </c>
      <c r="G1174" s="34" t="s">
        <v>9496</v>
      </c>
      <c r="H1174" s="34" t="s">
        <v>9496</v>
      </c>
      <c r="I1174" s="44" t="s">
        <v>11866</v>
      </c>
      <c r="J1174" s="36" t="s">
        <v>942</v>
      </c>
    </row>
    <row r="1175" spans="1:10" x14ac:dyDescent="0.25">
      <c r="A1175" s="31" t="s">
        <v>943</v>
      </c>
      <c r="B1175" s="31">
        <v>30.220099999999999</v>
      </c>
      <c r="C1175" s="32" t="s">
        <v>11867</v>
      </c>
      <c r="D1175" s="31" t="s">
        <v>11808</v>
      </c>
      <c r="E1175" s="40" t="s">
        <v>11868</v>
      </c>
      <c r="F1175" s="38" t="s">
        <v>9039</v>
      </c>
      <c r="G1175" s="34" t="s">
        <v>9496</v>
      </c>
      <c r="I1175" s="44" t="s">
        <v>11866</v>
      </c>
      <c r="J1175" s="36" t="s">
        <v>943</v>
      </c>
    </row>
    <row r="1176" spans="1:10" x14ac:dyDescent="0.25">
      <c r="A1176" s="31" t="s">
        <v>1959</v>
      </c>
      <c r="B1176" s="31">
        <v>30.220199999999998</v>
      </c>
      <c r="C1176" s="32" t="s">
        <v>11869</v>
      </c>
      <c r="D1176" s="31" t="s">
        <v>11808</v>
      </c>
      <c r="E1176" s="40" t="s">
        <v>11870</v>
      </c>
      <c r="F1176" s="38" t="s">
        <v>9039</v>
      </c>
      <c r="G1176" s="34" t="s">
        <v>9496</v>
      </c>
      <c r="I1176" s="44" t="s">
        <v>11866</v>
      </c>
      <c r="J1176" s="36" t="s">
        <v>1959</v>
      </c>
    </row>
    <row r="1177" spans="1:10" x14ac:dyDescent="0.25">
      <c r="A1177" s="31" t="s">
        <v>1960</v>
      </c>
      <c r="B1177" s="31">
        <v>30.229900000000001</v>
      </c>
      <c r="C1177" s="32" t="s">
        <v>11871</v>
      </c>
      <c r="D1177" s="31" t="s">
        <v>11808</v>
      </c>
      <c r="E1177" s="40" t="s">
        <v>11872</v>
      </c>
      <c r="F1177" s="38" t="s">
        <v>9039</v>
      </c>
      <c r="G1177" s="34" t="s">
        <v>9496</v>
      </c>
      <c r="I1177" s="44" t="s">
        <v>11866</v>
      </c>
      <c r="J1177" s="36" t="s">
        <v>1960</v>
      </c>
    </row>
    <row r="1178" spans="1:10" x14ac:dyDescent="0.25">
      <c r="A1178" s="31" t="s">
        <v>944</v>
      </c>
      <c r="B1178" s="31">
        <v>30.23</v>
      </c>
      <c r="C1178" s="32" t="s">
        <v>11873</v>
      </c>
      <c r="D1178" s="31" t="s">
        <v>11808</v>
      </c>
      <c r="E1178" s="40" t="s">
        <v>9497</v>
      </c>
      <c r="F1178" s="38" t="s">
        <v>9039</v>
      </c>
      <c r="G1178" s="34" t="s">
        <v>9497</v>
      </c>
      <c r="H1178" s="34" t="s">
        <v>9497</v>
      </c>
      <c r="I1178" s="44" t="s">
        <v>11873</v>
      </c>
      <c r="J1178" s="36" t="s">
        <v>944</v>
      </c>
    </row>
    <row r="1179" spans="1:10" x14ac:dyDescent="0.25">
      <c r="A1179" s="31" t="s">
        <v>944</v>
      </c>
      <c r="B1179" s="31">
        <v>30.2301</v>
      </c>
      <c r="C1179" s="32" t="s">
        <v>11874</v>
      </c>
      <c r="D1179" s="31" t="s">
        <v>11808</v>
      </c>
      <c r="E1179" s="40" t="s">
        <v>11875</v>
      </c>
      <c r="F1179" s="38" t="s">
        <v>9039</v>
      </c>
      <c r="G1179" s="34" t="s">
        <v>9497</v>
      </c>
      <c r="I1179" s="44" t="s">
        <v>11873</v>
      </c>
      <c r="J1179" s="36" t="s">
        <v>944</v>
      </c>
    </row>
    <row r="1180" spans="1:10" x14ac:dyDescent="0.25">
      <c r="A1180" s="31" t="s">
        <v>945</v>
      </c>
      <c r="B1180" s="31">
        <v>30.25</v>
      </c>
      <c r="C1180" s="32" t="s">
        <v>11876</v>
      </c>
      <c r="D1180" s="31" t="s">
        <v>11808</v>
      </c>
      <c r="E1180" s="40" t="s">
        <v>9498</v>
      </c>
      <c r="F1180" s="38" t="s">
        <v>9039</v>
      </c>
      <c r="G1180" s="34" t="s">
        <v>9498</v>
      </c>
      <c r="H1180" s="34" t="s">
        <v>9498</v>
      </c>
      <c r="I1180" s="44" t="s">
        <v>11876</v>
      </c>
      <c r="J1180" s="36" t="s">
        <v>945</v>
      </c>
    </row>
    <row r="1181" spans="1:10" x14ac:dyDescent="0.25">
      <c r="A1181" s="31" t="s">
        <v>1961</v>
      </c>
      <c r="B1181" s="31">
        <v>30.2501</v>
      </c>
      <c r="C1181" s="32" t="s">
        <v>11877</v>
      </c>
      <c r="D1181" s="31" t="s">
        <v>11808</v>
      </c>
      <c r="E1181" s="40" t="s">
        <v>11878</v>
      </c>
      <c r="F1181" s="38" t="s">
        <v>9039</v>
      </c>
      <c r="G1181" s="34" t="s">
        <v>9498</v>
      </c>
      <c r="I1181" s="44" t="s">
        <v>11876</v>
      </c>
      <c r="J1181" s="36" t="s">
        <v>1961</v>
      </c>
    </row>
    <row r="1182" spans="1:10" x14ac:dyDescent="0.25">
      <c r="A1182" s="31" t="s">
        <v>1962</v>
      </c>
      <c r="B1182" s="31">
        <v>30.2502</v>
      </c>
      <c r="C1182" s="32" t="s">
        <v>11879</v>
      </c>
      <c r="D1182" s="31" t="s">
        <v>11808</v>
      </c>
      <c r="E1182" s="40" t="s">
        <v>11880</v>
      </c>
      <c r="F1182" s="38" t="s">
        <v>9039</v>
      </c>
      <c r="G1182" s="34" t="s">
        <v>9498</v>
      </c>
      <c r="I1182" s="44" t="s">
        <v>11876</v>
      </c>
      <c r="J1182" s="36" t="s">
        <v>1962</v>
      </c>
    </row>
    <row r="1183" spans="1:10" x14ac:dyDescent="0.25">
      <c r="A1183" s="31" t="s">
        <v>1963</v>
      </c>
      <c r="B1183" s="31">
        <v>30.259899999999998</v>
      </c>
      <c r="C1183" s="32" t="s">
        <v>11881</v>
      </c>
      <c r="D1183" s="31" t="s">
        <v>11808</v>
      </c>
      <c r="E1183" s="40" t="s">
        <v>11882</v>
      </c>
      <c r="F1183" s="38" t="s">
        <v>9039</v>
      </c>
      <c r="G1183" s="34" t="s">
        <v>9498</v>
      </c>
      <c r="I1183" s="44" t="s">
        <v>11876</v>
      </c>
      <c r="J1183" s="36" t="s">
        <v>1963</v>
      </c>
    </row>
    <row r="1184" spans="1:10" x14ac:dyDescent="0.25">
      <c r="A1184" s="31" t="s">
        <v>946</v>
      </c>
      <c r="B1184" s="31">
        <v>30.26</v>
      </c>
      <c r="C1184" s="32" t="s">
        <v>11883</v>
      </c>
      <c r="D1184" s="31" t="s">
        <v>11808</v>
      </c>
      <c r="E1184" s="40" t="s">
        <v>9499</v>
      </c>
      <c r="F1184" s="38" t="s">
        <v>9039</v>
      </c>
      <c r="G1184" s="34" t="s">
        <v>9499</v>
      </c>
      <c r="H1184" s="34" t="s">
        <v>9499</v>
      </c>
      <c r="I1184" s="35" t="s">
        <v>11883</v>
      </c>
      <c r="J1184" s="36" t="s">
        <v>946</v>
      </c>
    </row>
    <row r="1185" spans="1:10" x14ac:dyDescent="0.25">
      <c r="A1185" s="31" t="s">
        <v>946</v>
      </c>
      <c r="B1185" s="31">
        <v>30.260100000000001</v>
      </c>
      <c r="C1185" s="32" t="s">
        <v>11884</v>
      </c>
      <c r="D1185" s="31" t="s">
        <v>11808</v>
      </c>
      <c r="E1185" s="40" t="s">
        <v>11885</v>
      </c>
      <c r="F1185" s="38" t="s">
        <v>9039</v>
      </c>
      <c r="G1185" s="34" t="s">
        <v>9499</v>
      </c>
      <c r="I1185" s="35" t="s">
        <v>11883</v>
      </c>
      <c r="J1185" s="36" t="s">
        <v>946</v>
      </c>
    </row>
    <row r="1186" spans="1:10" x14ac:dyDescent="0.25">
      <c r="A1186" s="31" t="s">
        <v>947</v>
      </c>
      <c r="B1186" s="31">
        <v>30.27</v>
      </c>
      <c r="C1186" s="32" t="s">
        <v>11886</v>
      </c>
      <c r="D1186" s="31" t="s">
        <v>11808</v>
      </c>
      <c r="E1186" s="40" t="s">
        <v>9500</v>
      </c>
      <c r="F1186" s="38" t="s">
        <v>9039</v>
      </c>
      <c r="G1186" s="34" t="s">
        <v>9500</v>
      </c>
      <c r="H1186" s="34" t="s">
        <v>9500</v>
      </c>
      <c r="I1186" s="44" t="s">
        <v>11886</v>
      </c>
      <c r="J1186" s="36" t="s">
        <v>947</v>
      </c>
    </row>
    <row r="1187" spans="1:10" x14ac:dyDescent="0.25">
      <c r="A1187" s="31" t="s">
        <v>947</v>
      </c>
      <c r="B1187" s="31">
        <v>30.270099999999999</v>
      </c>
      <c r="C1187" s="32" t="s">
        <v>11887</v>
      </c>
      <c r="D1187" s="31" t="s">
        <v>11808</v>
      </c>
      <c r="E1187" s="40" t="s">
        <v>11888</v>
      </c>
      <c r="F1187" s="38" t="s">
        <v>9039</v>
      </c>
      <c r="G1187" s="34" t="s">
        <v>9500</v>
      </c>
      <c r="I1187" s="44" t="s">
        <v>11886</v>
      </c>
      <c r="J1187" s="36" t="s">
        <v>947</v>
      </c>
    </row>
    <row r="1188" spans="1:10" x14ac:dyDescent="0.25">
      <c r="A1188" s="31" t="s">
        <v>948</v>
      </c>
      <c r="B1188" s="31">
        <v>30.28</v>
      </c>
      <c r="C1188" s="32" t="s">
        <v>11889</v>
      </c>
      <c r="D1188" s="31" t="s">
        <v>11808</v>
      </c>
      <c r="E1188" s="40" t="s">
        <v>9501</v>
      </c>
      <c r="F1188" s="38" t="s">
        <v>9039</v>
      </c>
      <c r="G1188" s="34" t="s">
        <v>9501</v>
      </c>
      <c r="H1188" s="34" t="s">
        <v>9501</v>
      </c>
      <c r="I1188" s="35" t="s">
        <v>11889</v>
      </c>
      <c r="J1188" s="36" t="s">
        <v>948</v>
      </c>
    </row>
    <row r="1189" spans="1:10" x14ac:dyDescent="0.25">
      <c r="A1189" s="31" t="s">
        <v>948</v>
      </c>
      <c r="B1189" s="31">
        <v>30.280100000000001</v>
      </c>
      <c r="C1189" s="32" t="s">
        <v>11890</v>
      </c>
      <c r="D1189" s="31" t="s">
        <v>11808</v>
      </c>
      <c r="E1189" s="40" t="s">
        <v>11891</v>
      </c>
      <c r="F1189" s="38" t="s">
        <v>9039</v>
      </c>
      <c r="G1189" s="34" t="s">
        <v>9501</v>
      </c>
      <c r="I1189" s="35" t="s">
        <v>11889</v>
      </c>
      <c r="J1189" s="36" t="s">
        <v>948</v>
      </c>
    </row>
    <row r="1190" spans="1:10" x14ac:dyDescent="0.25">
      <c r="A1190" s="31" t="s">
        <v>949</v>
      </c>
      <c r="B1190" s="31">
        <v>30.29</v>
      </c>
      <c r="C1190" s="32" t="s">
        <v>11892</v>
      </c>
      <c r="D1190" s="31" t="s">
        <v>11808</v>
      </c>
      <c r="E1190" s="40" t="s">
        <v>9502</v>
      </c>
      <c r="F1190" s="38" t="s">
        <v>9039</v>
      </c>
      <c r="G1190" s="34" t="s">
        <v>9502</v>
      </c>
      <c r="H1190" s="34" t="s">
        <v>9502</v>
      </c>
      <c r="I1190" s="35" t="s">
        <v>11892</v>
      </c>
      <c r="J1190" s="36" t="s">
        <v>949</v>
      </c>
    </row>
    <row r="1191" spans="1:10" x14ac:dyDescent="0.25">
      <c r="A1191" s="31" t="s">
        <v>949</v>
      </c>
      <c r="B1191" s="31">
        <v>30.290099999999999</v>
      </c>
      <c r="C1191" s="32" t="s">
        <v>11893</v>
      </c>
      <c r="D1191" s="31" t="s">
        <v>11808</v>
      </c>
      <c r="E1191" s="40" t="s">
        <v>11894</v>
      </c>
      <c r="F1191" s="38" t="s">
        <v>9039</v>
      </c>
      <c r="G1191" s="34" t="s">
        <v>9502</v>
      </c>
      <c r="I1191" s="35" t="s">
        <v>11892</v>
      </c>
      <c r="J1191" s="36" t="s">
        <v>949</v>
      </c>
    </row>
    <row r="1192" spans="1:10" x14ac:dyDescent="0.25">
      <c r="A1192" s="31" t="s">
        <v>950</v>
      </c>
      <c r="B1192" s="31">
        <v>30.3</v>
      </c>
      <c r="C1192" s="32" t="s">
        <v>11895</v>
      </c>
      <c r="D1192" s="31" t="s">
        <v>11808</v>
      </c>
      <c r="E1192" s="40" t="s">
        <v>9774</v>
      </c>
      <c r="F1192" s="38" t="s">
        <v>9039</v>
      </c>
      <c r="G1192" s="34" t="s">
        <v>9774</v>
      </c>
      <c r="H1192" s="34" t="s">
        <v>9503</v>
      </c>
      <c r="I1192" s="44" t="s">
        <v>11895</v>
      </c>
      <c r="J1192" s="36" t="s">
        <v>950</v>
      </c>
    </row>
    <row r="1193" spans="1:10" x14ac:dyDescent="0.25">
      <c r="A1193" s="31" t="s">
        <v>950</v>
      </c>
      <c r="B1193" s="31">
        <v>30.3001</v>
      </c>
      <c r="C1193" s="32" t="s">
        <v>11896</v>
      </c>
      <c r="D1193" s="31" t="s">
        <v>11808</v>
      </c>
      <c r="E1193" s="40" t="s">
        <v>11897</v>
      </c>
      <c r="F1193" s="38" t="s">
        <v>9039</v>
      </c>
      <c r="G1193" s="34" t="s">
        <v>9774</v>
      </c>
      <c r="I1193" s="44" t="s">
        <v>11895</v>
      </c>
      <c r="J1193" s="36" t="s">
        <v>950</v>
      </c>
    </row>
    <row r="1194" spans="1:10" x14ac:dyDescent="0.25">
      <c r="A1194" s="31" t="s">
        <v>951</v>
      </c>
      <c r="B1194" s="31">
        <v>30.31</v>
      </c>
      <c r="C1194" s="32" t="s">
        <v>11898</v>
      </c>
      <c r="D1194" s="31" t="s">
        <v>11808</v>
      </c>
      <c r="E1194" s="40" t="s">
        <v>9504</v>
      </c>
      <c r="F1194" s="38" t="s">
        <v>9039</v>
      </c>
      <c r="G1194" s="34" t="s">
        <v>9504</v>
      </c>
      <c r="H1194" s="34" t="s">
        <v>9504</v>
      </c>
      <c r="I1194" s="44" t="s">
        <v>11898</v>
      </c>
      <c r="J1194" s="36" t="s">
        <v>951</v>
      </c>
    </row>
    <row r="1195" spans="1:10" x14ac:dyDescent="0.25">
      <c r="A1195" s="31" t="s">
        <v>951</v>
      </c>
      <c r="B1195" s="31">
        <v>30.310099999999998</v>
      </c>
      <c r="C1195" s="32" t="s">
        <v>11899</v>
      </c>
      <c r="D1195" s="31" t="s">
        <v>11808</v>
      </c>
      <c r="E1195" s="40" t="s">
        <v>11900</v>
      </c>
      <c r="F1195" s="38" t="s">
        <v>9039</v>
      </c>
      <c r="G1195" s="34" t="s">
        <v>9504</v>
      </c>
      <c r="I1195" s="44" t="s">
        <v>11898</v>
      </c>
      <c r="J1195" s="36" t="s">
        <v>951</v>
      </c>
    </row>
    <row r="1196" spans="1:10" x14ac:dyDescent="0.25">
      <c r="A1196" s="31" t="s">
        <v>952</v>
      </c>
      <c r="B1196" s="31">
        <v>30.32</v>
      </c>
      <c r="C1196" s="32" t="s">
        <v>11901</v>
      </c>
      <c r="D1196" s="31" t="s">
        <v>11808</v>
      </c>
      <c r="E1196" s="40" t="s">
        <v>9505</v>
      </c>
      <c r="F1196" s="38" t="s">
        <v>9039</v>
      </c>
      <c r="G1196" s="34" t="s">
        <v>9505</v>
      </c>
      <c r="H1196" s="34" t="s">
        <v>9505</v>
      </c>
      <c r="I1196" s="35" t="s">
        <v>11901</v>
      </c>
      <c r="J1196" s="36" t="s">
        <v>952</v>
      </c>
    </row>
    <row r="1197" spans="1:10" x14ac:dyDescent="0.25">
      <c r="A1197" s="31" t="s">
        <v>952</v>
      </c>
      <c r="B1197" s="31">
        <v>30.3201</v>
      </c>
      <c r="C1197" s="32" t="s">
        <v>11902</v>
      </c>
      <c r="D1197" s="31" t="s">
        <v>11808</v>
      </c>
      <c r="E1197" s="40" t="s">
        <v>11903</v>
      </c>
      <c r="F1197" s="38" t="s">
        <v>9039</v>
      </c>
      <c r="G1197" s="34" t="s">
        <v>9505</v>
      </c>
      <c r="I1197" s="35" t="s">
        <v>11901</v>
      </c>
      <c r="J1197" s="36" t="s">
        <v>952</v>
      </c>
    </row>
    <row r="1198" spans="1:10" x14ac:dyDescent="0.25">
      <c r="A1198" s="31" t="s">
        <v>953</v>
      </c>
      <c r="B1198" s="31">
        <v>30.33</v>
      </c>
      <c r="C1198" s="32" t="s">
        <v>11904</v>
      </c>
      <c r="D1198" s="31" t="s">
        <v>11808</v>
      </c>
      <c r="E1198" s="40" t="s">
        <v>9506</v>
      </c>
      <c r="F1198" s="38" t="s">
        <v>9039</v>
      </c>
      <c r="G1198" s="34" t="s">
        <v>9506</v>
      </c>
      <c r="H1198" s="34" t="s">
        <v>9506</v>
      </c>
      <c r="I1198" s="44" t="s">
        <v>11904</v>
      </c>
      <c r="J1198" s="36" t="s">
        <v>953</v>
      </c>
    </row>
    <row r="1199" spans="1:10" x14ac:dyDescent="0.25">
      <c r="A1199" s="31" t="s">
        <v>953</v>
      </c>
      <c r="B1199" s="31">
        <v>30.330100000000002</v>
      </c>
      <c r="C1199" s="32" t="s">
        <v>11905</v>
      </c>
      <c r="D1199" s="31" t="s">
        <v>11808</v>
      </c>
      <c r="E1199" s="40" t="s">
        <v>11906</v>
      </c>
      <c r="F1199" s="38" t="s">
        <v>9039</v>
      </c>
      <c r="G1199" s="34" t="s">
        <v>9506</v>
      </c>
      <c r="I1199" s="44" t="s">
        <v>11904</v>
      </c>
      <c r="J1199" s="36" t="s">
        <v>953</v>
      </c>
    </row>
    <row r="1200" spans="1:10" x14ac:dyDescent="0.25">
      <c r="A1200" s="31" t="s">
        <v>1964</v>
      </c>
      <c r="B1200" s="31">
        <v>30.34</v>
      </c>
      <c r="C1200" s="32" t="s">
        <v>11907</v>
      </c>
      <c r="D1200" s="31" t="s">
        <v>11808</v>
      </c>
      <c r="E1200" s="40" t="s">
        <v>9507</v>
      </c>
      <c r="F1200" s="38" t="s">
        <v>9039</v>
      </c>
      <c r="G1200" s="34" t="s">
        <v>9507</v>
      </c>
      <c r="H1200" s="34" t="s">
        <v>9507</v>
      </c>
      <c r="I1200" s="35" t="s">
        <v>11907</v>
      </c>
      <c r="J1200" s="36" t="s">
        <v>1964</v>
      </c>
    </row>
    <row r="1201" spans="1:10" x14ac:dyDescent="0.25">
      <c r="A1201" s="31" t="s">
        <v>1964</v>
      </c>
      <c r="B1201" s="31">
        <v>30.3401</v>
      </c>
      <c r="C1201" s="32" t="s">
        <v>11908</v>
      </c>
      <c r="D1201" s="31" t="s">
        <v>11808</v>
      </c>
      <c r="E1201" s="40" t="s">
        <v>11909</v>
      </c>
      <c r="F1201" s="38" t="s">
        <v>9039</v>
      </c>
      <c r="G1201" s="34" t="s">
        <v>9507</v>
      </c>
      <c r="I1201" s="35" t="s">
        <v>11907</v>
      </c>
      <c r="J1201" s="36" t="s">
        <v>1964</v>
      </c>
    </row>
    <row r="1202" spans="1:10" x14ac:dyDescent="0.25">
      <c r="A1202" s="31" t="s">
        <v>1965</v>
      </c>
      <c r="B1202" s="31">
        <v>30.35</v>
      </c>
      <c r="C1202" s="32" t="s">
        <v>11910</v>
      </c>
      <c r="D1202" s="31" t="s">
        <v>11808</v>
      </c>
      <c r="E1202" s="40" t="s">
        <v>9508</v>
      </c>
      <c r="F1202" s="38" t="s">
        <v>9039</v>
      </c>
      <c r="G1202" s="34" t="s">
        <v>9508</v>
      </c>
      <c r="H1202" s="34" t="s">
        <v>9508</v>
      </c>
      <c r="I1202" s="35" t="s">
        <v>11910</v>
      </c>
      <c r="J1202" s="36" t="s">
        <v>1965</v>
      </c>
    </row>
    <row r="1203" spans="1:10" x14ac:dyDescent="0.25">
      <c r="A1203" s="31" t="s">
        <v>1965</v>
      </c>
      <c r="B1203" s="31">
        <v>30.350100000000001</v>
      </c>
      <c r="C1203" s="32" t="s">
        <v>11911</v>
      </c>
      <c r="D1203" s="31" t="s">
        <v>11808</v>
      </c>
      <c r="E1203" s="40" t="s">
        <v>11912</v>
      </c>
      <c r="F1203" s="38" t="s">
        <v>9039</v>
      </c>
      <c r="G1203" s="34" t="s">
        <v>9508</v>
      </c>
      <c r="I1203" s="35" t="s">
        <v>11910</v>
      </c>
      <c r="J1203" s="36" t="s">
        <v>1965</v>
      </c>
    </row>
    <row r="1204" spans="1:10" x14ac:dyDescent="0.25">
      <c r="A1204" s="31" t="s">
        <v>1966</v>
      </c>
      <c r="B1204" s="31">
        <v>30.36</v>
      </c>
      <c r="C1204" s="32" t="s">
        <v>11913</v>
      </c>
      <c r="D1204" s="31" t="s">
        <v>11808</v>
      </c>
      <c r="E1204" s="40" t="s">
        <v>9509</v>
      </c>
      <c r="F1204" s="38" t="s">
        <v>9039</v>
      </c>
      <c r="G1204" s="34" t="s">
        <v>9509</v>
      </c>
      <c r="H1204" s="34" t="s">
        <v>9509</v>
      </c>
      <c r="I1204" s="35" t="s">
        <v>11913</v>
      </c>
      <c r="J1204" s="36" t="s">
        <v>1966</v>
      </c>
    </row>
    <row r="1205" spans="1:10" x14ac:dyDescent="0.25">
      <c r="A1205" s="31" t="s">
        <v>1966</v>
      </c>
      <c r="B1205" s="31">
        <v>30.360099999999999</v>
      </c>
      <c r="C1205" s="32" t="s">
        <v>11914</v>
      </c>
      <c r="D1205" s="31" t="s">
        <v>11808</v>
      </c>
      <c r="E1205" s="40" t="s">
        <v>11915</v>
      </c>
      <c r="F1205" s="38" t="s">
        <v>9039</v>
      </c>
      <c r="G1205" s="34" t="s">
        <v>9509</v>
      </c>
      <c r="I1205" s="35" t="s">
        <v>11913</v>
      </c>
      <c r="J1205" s="36" t="s">
        <v>1966</v>
      </c>
    </row>
    <row r="1206" spans="1:10" x14ac:dyDescent="0.25">
      <c r="A1206" s="31" t="s">
        <v>1967</v>
      </c>
      <c r="B1206" s="31">
        <v>30.37</v>
      </c>
      <c r="C1206" s="32" t="s">
        <v>11916</v>
      </c>
      <c r="D1206" s="31" t="s">
        <v>11808</v>
      </c>
      <c r="E1206" s="40" t="s">
        <v>9510</v>
      </c>
      <c r="F1206" s="38" t="s">
        <v>9039</v>
      </c>
      <c r="G1206" s="34" t="s">
        <v>9510</v>
      </c>
      <c r="H1206" s="34" t="s">
        <v>9510</v>
      </c>
      <c r="I1206" s="35" t="s">
        <v>11916</v>
      </c>
      <c r="J1206" s="36" t="s">
        <v>1967</v>
      </c>
    </row>
    <row r="1207" spans="1:10" x14ac:dyDescent="0.25">
      <c r="A1207" s="31" t="s">
        <v>1967</v>
      </c>
      <c r="B1207" s="31">
        <v>30.370100000000001</v>
      </c>
      <c r="C1207" s="32" t="s">
        <v>11917</v>
      </c>
      <c r="D1207" s="31" t="s">
        <v>11808</v>
      </c>
      <c r="E1207" s="40" t="s">
        <v>11918</v>
      </c>
      <c r="F1207" s="38" t="s">
        <v>9039</v>
      </c>
      <c r="G1207" s="34" t="s">
        <v>9510</v>
      </c>
      <c r="I1207" s="35" t="s">
        <v>11916</v>
      </c>
      <c r="J1207" s="36" t="s">
        <v>1967</v>
      </c>
    </row>
    <row r="1208" spans="1:10" x14ac:dyDescent="0.25">
      <c r="A1208" s="31" t="s">
        <v>1968</v>
      </c>
      <c r="B1208" s="31">
        <v>30.38</v>
      </c>
      <c r="C1208" s="32" t="s">
        <v>11919</v>
      </c>
      <c r="D1208" s="31" t="s">
        <v>11808</v>
      </c>
      <c r="E1208" s="40" t="s">
        <v>9511</v>
      </c>
      <c r="F1208" s="38" t="s">
        <v>9039</v>
      </c>
      <c r="G1208" s="34" t="s">
        <v>9511</v>
      </c>
      <c r="H1208" s="34" t="s">
        <v>9511</v>
      </c>
      <c r="I1208" s="44" t="s">
        <v>11919</v>
      </c>
      <c r="J1208" s="36" t="s">
        <v>1968</v>
      </c>
    </row>
    <row r="1209" spans="1:10" x14ac:dyDescent="0.25">
      <c r="A1209" s="31" t="s">
        <v>1968</v>
      </c>
      <c r="B1209" s="31">
        <v>30.380099999999999</v>
      </c>
      <c r="C1209" s="32" t="s">
        <v>11920</v>
      </c>
      <c r="D1209" s="31" t="s">
        <v>11808</v>
      </c>
      <c r="E1209" s="40" t="s">
        <v>11921</v>
      </c>
      <c r="F1209" s="38" t="s">
        <v>9039</v>
      </c>
      <c r="G1209" s="34" t="s">
        <v>9511</v>
      </c>
      <c r="I1209" s="44" t="s">
        <v>11919</v>
      </c>
      <c r="J1209" s="36" t="s">
        <v>1968</v>
      </c>
    </row>
    <row r="1210" spans="1:10" x14ac:dyDescent="0.25">
      <c r="A1210" s="31" t="s">
        <v>1969</v>
      </c>
      <c r="B1210" s="31">
        <v>30.39</v>
      </c>
      <c r="C1210" s="32" t="s">
        <v>11922</v>
      </c>
      <c r="D1210" s="31" t="s">
        <v>11808</v>
      </c>
      <c r="E1210" s="40" t="s">
        <v>9512</v>
      </c>
      <c r="F1210" s="38" t="s">
        <v>9039</v>
      </c>
      <c r="G1210" s="34" t="s">
        <v>9512</v>
      </c>
      <c r="H1210" s="34" t="s">
        <v>9512</v>
      </c>
      <c r="I1210" s="35" t="s">
        <v>11922</v>
      </c>
      <c r="J1210" s="36" t="s">
        <v>1969</v>
      </c>
    </row>
    <row r="1211" spans="1:10" x14ac:dyDescent="0.25">
      <c r="A1211" s="31" t="s">
        <v>1969</v>
      </c>
      <c r="B1211" s="31">
        <v>30.3901</v>
      </c>
      <c r="C1211" s="32" t="s">
        <v>11923</v>
      </c>
      <c r="D1211" s="31" t="s">
        <v>11808</v>
      </c>
      <c r="E1211" s="40" t="s">
        <v>11924</v>
      </c>
      <c r="F1211" s="38" t="s">
        <v>9039</v>
      </c>
      <c r="G1211" s="34" t="s">
        <v>9512</v>
      </c>
      <c r="I1211" s="35" t="s">
        <v>11922</v>
      </c>
      <c r="J1211" s="36" t="s">
        <v>1969</v>
      </c>
    </row>
    <row r="1212" spans="1:10" x14ac:dyDescent="0.25">
      <c r="A1212" s="31" t="s">
        <v>1970</v>
      </c>
      <c r="B1212" s="31">
        <v>30.4</v>
      </c>
      <c r="C1212" s="32" t="s">
        <v>11925</v>
      </c>
      <c r="D1212" s="31" t="s">
        <v>11808</v>
      </c>
      <c r="E1212" s="40" t="s">
        <v>9513</v>
      </c>
      <c r="F1212" s="38" t="s">
        <v>9039</v>
      </c>
      <c r="G1212" s="34" t="s">
        <v>9513</v>
      </c>
      <c r="H1212" s="34" t="s">
        <v>9513</v>
      </c>
      <c r="I1212" s="35" t="s">
        <v>11925</v>
      </c>
      <c r="J1212" s="36" t="s">
        <v>1970</v>
      </c>
    </row>
    <row r="1213" spans="1:10" x14ac:dyDescent="0.25">
      <c r="A1213" s="31" t="s">
        <v>1970</v>
      </c>
      <c r="B1213" s="31">
        <v>30.400099999999998</v>
      </c>
      <c r="C1213" s="32" t="s">
        <v>11926</v>
      </c>
      <c r="D1213" s="31" t="s">
        <v>11808</v>
      </c>
      <c r="E1213" s="40" t="s">
        <v>11927</v>
      </c>
      <c r="F1213" s="38" t="s">
        <v>9039</v>
      </c>
      <c r="G1213" s="34" t="s">
        <v>9513</v>
      </c>
      <c r="I1213" s="35" t="s">
        <v>11925</v>
      </c>
      <c r="J1213" s="36" t="s">
        <v>1970</v>
      </c>
    </row>
    <row r="1214" spans="1:10" x14ac:dyDescent="0.25">
      <c r="A1214" s="31" t="s">
        <v>1971</v>
      </c>
      <c r="B1214" s="31">
        <v>30.41</v>
      </c>
      <c r="C1214" s="32" t="s">
        <v>11928</v>
      </c>
      <c r="D1214" s="31" t="s">
        <v>11808</v>
      </c>
      <c r="E1214" s="40" t="s">
        <v>9514</v>
      </c>
      <c r="F1214" s="38" t="s">
        <v>9039</v>
      </c>
      <c r="G1214" s="34" t="s">
        <v>9514</v>
      </c>
      <c r="H1214" s="34" t="s">
        <v>9514</v>
      </c>
      <c r="I1214" s="35" t="s">
        <v>11928</v>
      </c>
      <c r="J1214" s="36" t="s">
        <v>1971</v>
      </c>
    </row>
    <row r="1215" spans="1:10" x14ac:dyDescent="0.25">
      <c r="A1215" s="31" t="s">
        <v>1971</v>
      </c>
      <c r="B1215" s="31">
        <v>30.4101</v>
      </c>
      <c r="C1215" s="32" t="s">
        <v>11929</v>
      </c>
      <c r="D1215" s="31" t="s">
        <v>11808</v>
      </c>
      <c r="E1215" s="40" t="s">
        <v>11930</v>
      </c>
      <c r="F1215" s="38" t="s">
        <v>9039</v>
      </c>
      <c r="G1215" s="34" t="s">
        <v>9514</v>
      </c>
      <c r="I1215" s="35" t="s">
        <v>11928</v>
      </c>
      <c r="J1215" s="36" t="s">
        <v>1971</v>
      </c>
    </row>
    <row r="1216" spans="1:10" x14ac:dyDescent="0.25">
      <c r="A1216" s="31" t="s">
        <v>1972</v>
      </c>
      <c r="B1216" s="31">
        <v>30.42</v>
      </c>
      <c r="C1216" s="32" t="s">
        <v>11931</v>
      </c>
      <c r="D1216" s="31" t="s">
        <v>11808</v>
      </c>
      <c r="E1216" s="40" t="s">
        <v>9515</v>
      </c>
      <c r="F1216" s="38" t="s">
        <v>9039</v>
      </c>
      <c r="G1216" s="34" t="s">
        <v>9515</v>
      </c>
      <c r="H1216" s="34" t="s">
        <v>9515</v>
      </c>
      <c r="I1216" s="35" t="s">
        <v>11931</v>
      </c>
      <c r="J1216" s="36" t="s">
        <v>1972</v>
      </c>
    </row>
    <row r="1217" spans="1:10" x14ac:dyDescent="0.25">
      <c r="A1217" s="31" t="s">
        <v>1972</v>
      </c>
      <c r="B1217" s="31">
        <v>30.420100000000001</v>
      </c>
      <c r="C1217" s="32" t="s">
        <v>11932</v>
      </c>
      <c r="D1217" s="31" t="s">
        <v>11808</v>
      </c>
      <c r="E1217" s="40" t="s">
        <v>11933</v>
      </c>
      <c r="F1217" s="38" t="s">
        <v>9039</v>
      </c>
      <c r="G1217" s="34" t="s">
        <v>9515</v>
      </c>
      <c r="I1217" s="35" t="s">
        <v>11931</v>
      </c>
      <c r="J1217" s="36" t="s">
        <v>1972</v>
      </c>
    </row>
    <row r="1218" spans="1:10" x14ac:dyDescent="0.25">
      <c r="A1218" s="31" t="s">
        <v>1973</v>
      </c>
      <c r="B1218" s="31">
        <v>30.43</v>
      </c>
      <c r="C1218" s="32" t="s">
        <v>11934</v>
      </c>
      <c r="D1218" s="31" t="s">
        <v>11808</v>
      </c>
      <c r="E1218" s="40" t="s">
        <v>9516</v>
      </c>
      <c r="F1218" s="38" t="s">
        <v>9039</v>
      </c>
      <c r="G1218" s="34" t="s">
        <v>9516</v>
      </c>
      <c r="H1218" s="34" t="s">
        <v>9516</v>
      </c>
      <c r="I1218" s="35" t="s">
        <v>11934</v>
      </c>
      <c r="J1218" s="36" t="s">
        <v>1973</v>
      </c>
    </row>
    <row r="1219" spans="1:10" x14ac:dyDescent="0.25">
      <c r="A1219" s="31" t="s">
        <v>1973</v>
      </c>
      <c r="B1219" s="31">
        <v>30.430099999999999</v>
      </c>
      <c r="C1219" s="32" t="s">
        <v>11935</v>
      </c>
      <c r="D1219" s="31" t="s">
        <v>11808</v>
      </c>
      <c r="E1219" s="40" t="s">
        <v>11936</v>
      </c>
      <c r="F1219" s="38" t="s">
        <v>9039</v>
      </c>
      <c r="G1219" s="34" t="s">
        <v>9516</v>
      </c>
      <c r="I1219" s="35" t="s">
        <v>11934</v>
      </c>
      <c r="J1219" s="36" t="s">
        <v>1973</v>
      </c>
    </row>
    <row r="1220" spans="1:10" x14ac:dyDescent="0.25">
      <c r="A1220" s="31" t="s">
        <v>1974</v>
      </c>
      <c r="B1220" s="31">
        <v>30.44</v>
      </c>
      <c r="C1220" s="32" t="s">
        <v>11937</v>
      </c>
      <c r="D1220" s="31" t="s">
        <v>11808</v>
      </c>
      <c r="E1220" s="40" t="s">
        <v>9517</v>
      </c>
      <c r="F1220" s="38" t="s">
        <v>9039</v>
      </c>
      <c r="G1220" s="34" t="s">
        <v>9517</v>
      </c>
      <c r="H1220" s="34" t="s">
        <v>9517</v>
      </c>
      <c r="I1220" s="35" t="s">
        <v>11937</v>
      </c>
      <c r="J1220" s="36" t="s">
        <v>1974</v>
      </c>
    </row>
    <row r="1221" spans="1:10" x14ac:dyDescent="0.25">
      <c r="A1221" s="31" t="s">
        <v>1974</v>
      </c>
      <c r="B1221" s="31">
        <v>30.440100000000001</v>
      </c>
      <c r="C1221" s="32" t="s">
        <v>11938</v>
      </c>
      <c r="D1221" s="31" t="s">
        <v>11808</v>
      </c>
      <c r="E1221" s="40" t="s">
        <v>11939</v>
      </c>
      <c r="F1221" s="38" t="s">
        <v>9039</v>
      </c>
      <c r="G1221" s="34" t="s">
        <v>9517</v>
      </c>
      <c r="I1221" s="35" t="s">
        <v>11937</v>
      </c>
      <c r="J1221" s="36" t="s">
        <v>1974</v>
      </c>
    </row>
    <row r="1222" spans="1:10" x14ac:dyDescent="0.25">
      <c r="A1222" s="31" t="s">
        <v>1975</v>
      </c>
      <c r="B1222" s="31">
        <v>30.45</v>
      </c>
      <c r="C1222" s="32" t="s">
        <v>11940</v>
      </c>
      <c r="D1222" s="31" t="s">
        <v>11808</v>
      </c>
      <c r="E1222" s="40" t="s">
        <v>9518</v>
      </c>
      <c r="F1222" s="38" t="s">
        <v>9039</v>
      </c>
      <c r="G1222" s="34" t="s">
        <v>9518</v>
      </c>
      <c r="H1222" s="34" t="s">
        <v>9518</v>
      </c>
      <c r="I1222" s="35" t="s">
        <v>11940</v>
      </c>
      <c r="J1222" s="36" t="s">
        <v>1975</v>
      </c>
    </row>
    <row r="1223" spans="1:10" x14ac:dyDescent="0.25">
      <c r="A1223" s="31" t="s">
        <v>1975</v>
      </c>
      <c r="B1223" s="31">
        <v>30.450099999999999</v>
      </c>
      <c r="C1223" s="32" t="s">
        <v>11941</v>
      </c>
      <c r="D1223" s="31" t="s">
        <v>11808</v>
      </c>
      <c r="E1223" s="40" t="s">
        <v>11942</v>
      </c>
      <c r="F1223" s="38" t="s">
        <v>9039</v>
      </c>
      <c r="G1223" s="34" t="s">
        <v>9518</v>
      </c>
      <c r="I1223" s="35" t="s">
        <v>11940</v>
      </c>
      <c r="J1223" s="36" t="s">
        <v>1975</v>
      </c>
    </row>
    <row r="1224" spans="1:10" x14ac:dyDescent="0.25">
      <c r="A1224" s="31" t="s">
        <v>1976</v>
      </c>
      <c r="B1224" s="31">
        <v>30.46</v>
      </c>
      <c r="C1224" s="32" t="s">
        <v>11943</v>
      </c>
      <c r="D1224" s="31" t="s">
        <v>11808</v>
      </c>
      <c r="E1224" s="40" t="s">
        <v>9519</v>
      </c>
      <c r="F1224" s="38" t="s">
        <v>9039</v>
      </c>
      <c r="G1224" s="34" t="s">
        <v>9519</v>
      </c>
      <c r="H1224" s="34" t="s">
        <v>9519</v>
      </c>
      <c r="I1224" s="35" t="s">
        <v>11943</v>
      </c>
      <c r="J1224" s="36" t="s">
        <v>1976</v>
      </c>
    </row>
    <row r="1225" spans="1:10" x14ac:dyDescent="0.25">
      <c r="A1225" s="31" t="s">
        <v>1976</v>
      </c>
      <c r="B1225" s="31">
        <v>30.460100000000001</v>
      </c>
      <c r="C1225" s="32" t="s">
        <v>11944</v>
      </c>
      <c r="D1225" s="31" t="s">
        <v>11808</v>
      </c>
      <c r="E1225" s="40" t="s">
        <v>11945</v>
      </c>
      <c r="F1225" s="38" t="s">
        <v>9039</v>
      </c>
      <c r="G1225" s="34" t="s">
        <v>9519</v>
      </c>
      <c r="I1225" s="35" t="s">
        <v>11943</v>
      </c>
      <c r="J1225" s="36" t="s">
        <v>1976</v>
      </c>
    </row>
    <row r="1226" spans="1:10" x14ac:dyDescent="0.25">
      <c r="A1226" s="31" t="s">
        <v>1977</v>
      </c>
      <c r="B1226" s="31">
        <v>30.47</v>
      </c>
      <c r="C1226" s="32" t="s">
        <v>11946</v>
      </c>
      <c r="D1226" s="31" t="s">
        <v>11808</v>
      </c>
      <c r="E1226" s="40" t="s">
        <v>9520</v>
      </c>
      <c r="F1226" s="38" t="s">
        <v>9039</v>
      </c>
      <c r="G1226" s="34" t="s">
        <v>9520</v>
      </c>
      <c r="H1226" s="34" t="s">
        <v>9520</v>
      </c>
      <c r="I1226" s="35" t="s">
        <v>11946</v>
      </c>
      <c r="J1226" s="36" t="s">
        <v>1977</v>
      </c>
    </row>
    <row r="1227" spans="1:10" x14ac:dyDescent="0.25">
      <c r="A1227" s="31" t="s">
        <v>1977</v>
      </c>
      <c r="B1227" s="31">
        <v>30.470099999999999</v>
      </c>
      <c r="C1227" s="32" t="s">
        <v>11947</v>
      </c>
      <c r="D1227" s="31" t="s">
        <v>11808</v>
      </c>
      <c r="E1227" s="40" t="s">
        <v>11948</v>
      </c>
      <c r="F1227" s="38" t="s">
        <v>9039</v>
      </c>
      <c r="G1227" s="34" t="s">
        <v>9520</v>
      </c>
      <c r="I1227" s="35" t="s">
        <v>11946</v>
      </c>
      <c r="J1227" s="36" t="s">
        <v>1977</v>
      </c>
    </row>
    <row r="1228" spans="1:10" x14ac:dyDescent="0.25">
      <c r="A1228" s="31" t="s">
        <v>1978</v>
      </c>
      <c r="B1228" s="31">
        <v>30.48</v>
      </c>
      <c r="C1228" s="32" t="s">
        <v>11949</v>
      </c>
      <c r="D1228" s="31" t="s">
        <v>11808</v>
      </c>
      <c r="E1228" s="40" t="s">
        <v>9521</v>
      </c>
      <c r="F1228" s="38" t="s">
        <v>9039</v>
      </c>
      <c r="G1228" s="34" t="s">
        <v>9521</v>
      </c>
      <c r="H1228" s="34" t="s">
        <v>9521</v>
      </c>
      <c r="I1228" s="35" t="s">
        <v>11949</v>
      </c>
      <c r="J1228" s="36" t="s">
        <v>1978</v>
      </c>
    </row>
    <row r="1229" spans="1:10" x14ac:dyDescent="0.25">
      <c r="A1229" s="31" t="s">
        <v>1978</v>
      </c>
      <c r="B1229" s="31">
        <v>30.4801</v>
      </c>
      <c r="C1229" s="32" t="s">
        <v>11950</v>
      </c>
      <c r="D1229" s="31" t="s">
        <v>11808</v>
      </c>
      <c r="E1229" s="40" t="s">
        <v>11951</v>
      </c>
      <c r="F1229" s="38" t="s">
        <v>9039</v>
      </c>
      <c r="G1229" s="34" t="s">
        <v>9521</v>
      </c>
      <c r="I1229" s="35" t="s">
        <v>11949</v>
      </c>
      <c r="J1229" s="36" t="s">
        <v>1978</v>
      </c>
    </row>
    <row r="1230" spans="1:10" x14ac:dyDescent="0.25">
      <c r="A1230" s="31" t="s">
        <v>1979</v>
      </c>
      <c r="B1230" s="31">
        <v>30.49</v>
      </c>
      <c r="C1230" s="32" t="s">
        <v>11952</v>
      </c>
      <c r="D1230" s="31" t="s">
        <v>11808</v>
      </c>
      <c r="E1230" s="40" t="s">
        <v>9522</v>
      </c>
      <c r="F1230" s="38" t="s">
        <v>9039</v>
      </c>
      <c r="G1230" s="34" t="s">
        <v>9522</v>
      </c>
      <c r="H1230" s="34" t="s">
        <v>9522</v>
      </c>
      <c r="I1230" s="44" t="s">
        <v>11952</v>
      </c>
      <c r="J1230" s="36" t="s">
        <v>1979</v>
      </c>
    </row>
    <row r="1231" spans="1:10" x14ac:dyDescent="0.25">
      <c r="A1231" s="31" t="s">
        <v>1979</v>
      </c>
      <c r="B1231" s="31">
        <v>30.490100000000002</v>
      </c>
      <c r="C1231" s="32" t="s">
        <v>11953</v>
      </c>
      <c r="D1231" s="31" t="s">
        <v>11808</v>
      </c>
      <c r="E1231" s="40" t="s">
        <v>11954</v>
      </c>
      <c r="F1231" s="38" t="s">
        <v>9039</v>
      </c>
      <c r="G1231" s="34" t="s">
        <v>9522</v>
      </c>
      <c r="I1231" s="44" t="s">
        <v>11952</v>
      </c>
      <c r="J1231" s="36" t="s">
        <v>1979</v>
      </c>
    </row>
    <row r="1232" spans="1:10" x14ac:dyDescent="0.25">
      <c r="A1232" s="31" t="s">
        <v>1980</v>
      </c>
      <c r="B1232" s="31">
        <v>30.5</v>
      </c>
      <c r="C1232" s="32" t="s">
        <v>11955</v>
      </c>
      <c r="D1232" s="31" t="s">
        <v>11808</v>
      </c>
      <c r="E1232" s="40" t="s">
        <v>9523</v>
      </c>
      <c r="F1232" s="38" t="s">
        <v>9039</v>
      </c>
      <c r="G1232" s="34" t="s">
        <v>9523</v>
      </c>
      <c r="H1232" s="34" t="s">
        <v>9523</v>
      </c>
      <c r="I1232" s="35" t="s">
        <v>11955</v>
      </c>
      <c r="J1232" s="36" t="s">
        <v>1980</v>
      </c>
    </row>
    <row r="1233" spans="1:10" x14ac:dyDescent="0.25">
      <c r="A1233" s="31" t="s">
        <v>1980</v>
      </c>
      <c r="B1233" s="31">
        <v>30.5001</v>
      </c>
      <c r="C1233" s="32" t="s">
        <v>11956</v>
      </c>
      <c r="D1233" s="31" t="s">
        <v>11808</v>
      </c>
      <c r="E1233" s="40" t="s">
        <v>11957</v>
      </c>
      <c r="F1233" s="38" t="s">
        <v>9039</v>
      </c>
      <c r="G1233" s="34" t="s">
        <v>9523</v>
      </c>
      <c r="I1233" s="35" t="s">
        <v>11955</v>
      </c>
      <c r="J1233" s="36" t="s">
        <v>1980</v>
      </c>
    </row>
    <row r="1234" spans="1:10" x14ac:dyDescent="0.25">
      <c r="A1234" s="31" t="s">
        <v>1981</v>
      </c>
      <c r="B1234" s="31">
        <v>30.51</v>
      </c>
      <c r="C1234" s="32" t="s">
        <v>11958</v>
      </c>
      <c r="D1234" s="31" t="s">
        <v>11808</v>
      </c>
      <c r="E1234" s="40" t="s">
        <v>9524</v>
      </c>
      <c r="F1234" s="38" t="s">
        <v>9039</v>
      </c>
      <c r="G1234" s="34" t="s">
        <v>9524</v>
      </c>
      <c r="H1234" s="34" t="s">
        <v>9524</v>
      </c>
      <c r="I1234" s="44" t="s">
        <v>11958</v>
      </c>
      <c r="J1234" s="36" t="s">
        <v>1981</v>
      </c>
    </row>
    <row r="1235" spans="1:10" x14ac:dyDescent="0.25">
      <c r="A1235" s="31" t="s">
        <v>1981</v>
      </c>
      <c r="B1235" s="31">
        <v>30.510100000000001</v>
      </c>
      <c r="C1235" s="32" t="s">
        <v>11959</v>
      </c>
      <c r="D1235" s="31" t="s">
        <v>11808</v>
      </c>
      <c r="E1235" s="40" t="s">
        <v>11960</v>
      </c>
      <c r="F1235" s="38" t="s">
        <v>9039</v>
      </c>
      <c r="G1235" s="34" t="s">
        <v>9524</v>
      </c>
      <c r="I1235" s="44" t="s">
        <v>11958</v>
      </c>
      <c r="J1235" s="36" t="s">
        <v>1981</v>
      </c>
    </row>
    <row r="1236" spans="1:10" x14ac:dyDescent="0.25">
      <c r="A1236" s="31" t="s">
        <v>1982</v>
      </c>
      <c r="B1236" s="31">
        <v>30.52</v>
      </c>
      <c r="C1236" s="32" t="s">
        <v>11961</v>
      </c>
      <c r="D1236" s="31" t="s">
        <v>11808</v>
      </c>
      <c r="E1236" s="40" t="s">
        <v>9525</v>
      </c>
      <c r="F1236" s="38" t="s">
        <v>9039</v>
      </c>
      <c r="G1236" s="34" t="s">
        <v>9525</v>
      </c>
      <c r="H1236" s="34" t="s">
        <v>9525</v>
      </c>
      <c r="I1236" s="35" t="s">
        <v>11961</v>
      </c>
      <c r="J1236" s="36" t="s">
        <v>1982</v>
      </c>
    </row>
    <row r="1237" spans="1:10" x14ac:dyDescent="0.25">
      <c r="A1237" s="31" t="s">
        <v>1983</v>
      </c>
      <c r="B1237" s="31">
        <v>30.520099999999999</v>
      </c>
      <c r="C1237" s="32" t="s">
        <v>11962</v>
      </c>
      <c r="D1237" s="31" t="s">
        <v>11808</v>
      </c>
      <c r="E1237" s="40" t="s">
        <v>11963</v>
      </c>
      <c r="F1237" s="38" t="s">
        <v>9039</v>
      </c>
      <c r="G1237" s="34" t="s">
        <v>9525</v>
      </c>
      <c r="I1237" s="35" t="s">
        <v>11961</v>
      </c>
      <c r="J1237" s="36" t="s">
        <v>1983</v>
      </c>
    </row>
    <row r="1238" spans="1:10" x14ac:dyDescent="0.25">
      <c r="A1238" s="31" t="s">
        <v>1984</v>
      </c>
      <c r="B1238" s="31">
        <v>30.520199999999999</v>
      </c>
      <c r="C1238" s="32" t="s">
        <v>11964</v>
      </c>
      <c r="D1238" s="31" t="s">
        <v>11808</v>
      </c>
      <c r="E1238" s="40" t="s">
        <v>11965</v>
      </c>
      <c r="F1238" s="38" t="s">
        <v>9039</v>
      </c>
      <c r="G1238" s="34" t="s">
        <v>9525</v>
      </c>
      <c r="I1238" s="35" t="s">
        <v>11961</v>
      </c>
      <c r="J1238" s="36" t="s">
        <v>1984</v>
      </c>
    </row>
    <row r="1239" spans="1:10" x14ac:dyDescent="0.25">
      <c r="A1239" s="31" t="s">
        <v>1985</v>
      </c>
      <c r="B1239" s="31">
        <v>30.520299999999999</v>
      </c>
      <c r="C1239" s="32" t="s">
        <v>11966</v>
      </c>
      <c r="D1239" s="31" t="s">
        <v>11808</v>
      </c>
      <c r="E1239" s="40" t="s">
        <v>11967</v>
      </c>
      <c r="F1239" s="38" t="s">
        <v>9039</v>
      </c>
      <c r="G1239" s="34" t="s">
        <v>9525</v>
      </c>
      <c r="I1239" s="35" t="s">
        <v>11961</v>
      </c>
      <c r="J1239" s="36" t="s">
        <v>1985</v>
      </c>
    </row>
    <row r="1240" spans="1:10" x14ac:dyDescent="0.25">
      <c r="A1240" s="31" t="s">
        <v>1986</v>
      </c>
      <c r="B1240" s="31">
        <v>30.529900000000001</v>
      </c>
      <c r="C1240" s="32" t="s">
        <v>11968</v>
      </c>
      <c r="D1240" s="31" t="s">
        <v>11808</v>
      </c>
      <c r="E1240" s="40" t="s">
        <v>11969</v>
      </c>
      <c r="F1240" s="38" t="s">
        <v>9039</v>
      </c>
      <c r="G1240" s="34" t="s">
        <v>9525</v>
      </c>
      <c r="I1240" s="35" t="s">
        <v>11961</v>
      </c>
      <c r="J1240" s="36" t="s">
        <v>1986</v>
      </c>
    </row>
    <row r="1241" spans="1:10" x14ac:dyDescent="0.25">
      <c r="A1241" s="31" t="s">
        <v>1987</v>
      </c>
      <c r="B1241" s="31">
        <v>30.53</v>
      </c>
      <c r="C1241" s="32" t="s">
        <v>11970</v>
      </c>
      <c r="D1241" s="31" t="s">
        <v>11808</v>
      </c>
      <c r="E1241" s="40" t="s">
        <v>9526</v>
      </c>
      <c r="F1241" s="38" t="s">
        <v>9039</v>
      </c>
      <c r="G1241" s="34" t="s">
        <v>9526</v>
      </c>
      <c r="H1241" s="34" t="s">
        <v>9526</v>
      </c>
      <c r="I1241" s="35" t="s">
        <v>11970</v>
      </c>
      <c r="J1241" s="36" t="s">
        <v>1987</v>
      </c>
    </row>
    <row r="1242" spans="1:10" x14ac:dyDescent="0.25">
      <c r="A1242" s="31" t="s">
        <v>1987</v>
      </c>
      <c r="B1242" s="31">
        <v>30.530100000000001</v>
      </c>
      <c r="C1242" s="32" t="s">
        <v>11971</v>
      </c>
      <c r="D1242" s="31" t="s">
        <v>11808</v>
      </c>
      <c r="E1242" s="40" t="s">
        <v>11972</v>
      </c>
      <c r="F1242" s="38" t="s">
        <v>9039</v>
      </c>
      <c r="G1242" s="34" t="s">
        <v>9526</v>
      </c>
      <c r="I1242" s="35" t="s">
        <v>11970</v>
      </c>
      <c r="J1242" s="36" t="s">
        <v>1987</v>
      </c>
    </row>
    <row r="1243" spans="1:10" x14ac:dyDescent="0.25">
      <c r="A1243" s="31" t="s">
        <v>1988</v>
      </c>
      <c r="B1243" s="31">
        <v>30.7</v>
      </c>
      <c r="C1243" s="32" t="s">
        <v>11973</v>
      </c>
      <c r="D1243" s="31" t="s">
        <v>11808</v>
      </c>
      <c r="E1243" s="40" t="s">
        <v>9527</v>
      </c>
      <c r="F1243" s="38" t="s">
        <v>9039</v>
      </c>
      <c r="G1243" s="34" t="s">
        <v>9527</v>
      </c>
      <c r="H1243" s="34" t="s">
        <v>9527</v>
      </c>
      <c r="I1243" s="44" t="s">
        <v>11973</v>
      </c>
      <c r="J1243" s="36" t="s">
        <v>1988</v>
      </c>
    </row>
    <row r="1244" spans="1:10" x14ac:dyDescent="0.25">
      <c r="A1244" s="31" t="s">
        <v>1989</v>
      </c>
      <c r="B1244" s="31">
        <v>30.700099999999999</v>
      </c>
      <c r="C1244" s="32" t="s">
        <v>11974</v>
      </c>
      <c r="D1244" s="31" t="s">
        <v>11808</v>
      </c>
      <c r="E1244" s="40" t="s">
        <v>11975</v>
      </c>
      <c r="F1244" s="38" t="s">
        <v>9039</v>
      </c>
      <c r="G1244" s="34" t="s">
        <v>9527</v>
      </c>
      <c r="I1244" s="44" t="s">
        <v>11973</v>
      </c>
      <c r="J1244" s="36" t="s">
        <v>1989</v>
      </c>
    </row>
    <row r="1245" spans="1:10" x14ac:dyDescent="0.25">
      <c r="A1245" s="31" t="s">
        <v>1990</v>
      </c>
      <c r="B1245" s="31">
        <v>30.709900000000001</v>
      </c>
      <c r="C1245" s="32" t="s">
        <v>11976</v>
      </c>
      <c r="D1245" s="31" t="s">
        <v>11808</v>
      </c>
      <c r="E1245" s="40" t="s">
        <v>11977</v>
      </c>
      <c r="F1245" s="38" t="s">
        <v>9039</v>
      </c>
      <c r="G1245" s="34" t="s">
        <v>9527</v>
      </c>
      <c r="I1245" s="44" t="s">
        <v>11973</v>
      </c>
      <c r="J1245" s="36" t="s">
        <v>1990</v>
      </c>
    </row>
    <row r="1246" spans="1:10" x14ac:dyDescent="0.25">
      <c r="A1246" s="31" t="s">
        <v>1991</v>
      </c>
      <c r="B1246" s="31">
        <v>30.71</v>
      </c>
      <c r="C1246" s="32" t="s">
        <v>11978</v>
      </c>
      <c r="D1246" s="31" t="s">
        <v>11808</v>
      </c>
      <c r="E1246" s="40" t="s">
        <v>9528</v>
      </c>
      <c r="F1246" s="38" t="s">
        <v>9039</v>
      </c>
      <c r="G1246" s="34" t="s">
        <v>9528</v>
      </c>
      <c r="H1246" s="34" t="s">
        <v>9528</v>
      </c>
      <c r="I1246" s="44" t="s">
        <v>11978</v>
      </c>
      <c r="J1246" s="36" t="s">
        <v>1991</v>
      </c>
    </row>
    <row r="1247" spans="1:10" x14ac:dyDescent="0.25">
      <c r="A1247" s="31" t="s">
        <v>1992</v>
      </c>
      <c r="B1247" s="31">
        <v>30.710100000000001</v>
      </c>
      <c r="C1247" s="32" t="s">
        <v>11979</v>
      </c>
      <c r="D1247" s="31" t="s">
        <v>11808</v>
      </c>
      <c r="E1247" s="40" t="s">
        <v>11980</v>
      </c>
      <c r="F1247" s="38" t="s">
        <v>9039</v>
      </c>
      <c r="G1247" s="34" t="s">
        <v>9528</v>
      </c>
      <c r="I1247" s="44" t="s">
        <v>11978</v>
      </c>
      <c r="J1247" s="36" t="s">
        <v>1992</v>
      </c>
    </row>
    <row r="1248" spans="1:10" x14ac:dyDescent="0.25">
      <c r="A1248" s="31" t="s">
        <v>1993</v>
      </c>
      <c r="B1248" s="31">
        <v>30.7102</v>
      </c>
      <c r="C1248" s="32" t="s">
        <v>11981</v>
      </c>
      <c r="D1248" s="31" t="s">
        <v>11808</v>
      </c>
      <c r="E1248" s="40" t="s">
        <v>11982</v>
      </c>
      <c r="F1248" s="38" t="s">
        <v>9039</v>
      </c>
      <c r="G1248" s="34" t="s">
        <v>9528</v>
      </c>
      <c r="I1248" s="44" t="s">
        <v>11978</v>
      </c>
      <c r="J1248" s="36" t="s">
        <v>1993</v>
      </c>
    </row>
    <row r="1249" spans="1:10" x14ac:dyDescent="0.25">
      <c r="A1249" s="31" t="s">
        <v>1994</v>
      </c>
      <c r="B1249" s="31">
        <v>30.7103</v>
      </c>
      <c r="C1249" s="32" t="s">
        <v>11983</v>
      </c>
      <c r="D1249" s="31" t="s">
        <v>11808</v>
      </c>
      <c r="E1249" s="40" t="s">
        <v>11984</v>
      </c>
      <c r="F1249" s="38" t="s">
        <v>9039</v>
      </c>
      <c r="G1249" s="34" t="s">
        <v>9528</v>
      </c>
      <c r="I1249" s="44" t="s">
        <v>11978</v>
      </c>
      <c r="J1249" s="36" t="s">
        <v>1994</v>
      </c>
    </row>
    <row r="1250" spans="1:10" x14ac:dyDescent="0.25">
      <c r="A1250" s="31" t="s">
        <v>1995</v>
      </c>
      <c r="B1250" s="31">
        <v>30.7104</v>
      </c>
      <c r="C1250" s="32" t="s">
        <v>11985</v>
      </c>
      <c r="D1250" s="31" t="s">
        <v>11808</v>
      </c>
      <c r="E1250" s="40" t="s">
        <v>11986</v>
      </c>
      <c r="F1250" s="38" t="s">
        <v>9039</v>
      </c>
      <c r="G1250" s="34" t="s">
        <v>9528</v>
      </c>
      <c r="I1250" s="44" t="s">
        <v>11978</v>
      </c>
      <c r="J1250" s="36" t="s">
        <v>1995</v>
      </c>
    </row>
    <row r="1251" spans="1:10" x14ac:dyDescent="0.25">
      <c r="A1251" s="31" t="s">
        <v>1996</v>
      </c>
      <c r="B1251" s="31">
        <v>30.719899999999999</v>
      </c>
      <c r="C1251" s="32" t="s">
        <v>11987</v>
      </c>
      <c r="D1251" s="31" t="s">
        <v>11808</v>
      </c>
      <c r="E1251" s="40" t="s">
        <v>11988</v>
      </c>
      <c r="F1251" s="38" t="s">
        <v>9039</v>
      </c>
      <c r="G1251" s="34" t="s">
        <v>9528</v>
      </c>
      <c r="I1251" s="44" t="s">
        <v>11978</v>
      </c>
      <c r="J1251" s="36" t="s">
        <v>1996</v>
      </c>
    </row>
    <row r="1252" spans="1:10" x14ac:dyDescent="0.25">
      <c r="A1252" s="31" t="s">
        <v>954</v>
      </c>
      <c r="B1252" s="31">
        <v>30.99</v>
      </c>
      <c r="C1252" s="32" t="s">
        <v>11989</v>
      </c>
      <c r="D1252" s="31" t="s">
        <v>11808</v>
      </c>
      <c r="E1252" s="40" t="s">
        <v>9529</v>
      </c>
      <c r="F1252" s="38" t="s">
        <v>9039</v>
      </c>
      <c r="G1252" s="34" t="s">
        <v>9529</v>
      </c>
      <c r="H1252" s="34" t="s">
        <v>9529</v>
      </c>
      <c r="I1252" s="44" t="s">
        <v>11989</v>
      </c>
      <c r="J1252" s="36" t="s">
        <v>954</v>
      </c>
    </row>
    <row r="1253" spans="1:10" x14ac:dyDescent="0.25">
      <c r="A1253" s="31" t="s">
        <v>1997</v>
      </c>
      <c r="B1253" s="31">
        <v>30.9999</v>
      </c>
      <c r="C1253" s="32" t="s">
        <v>11990</v>
      </c>
      <c r="D1253" s="31" t="s">
        <v>11808</v>
      </c>
      <c r="E1253" s="40" t="s">
        <v>11991</v>
      </c>
      <c r="F1253" s="38" t="s">
        <v>9039</v>
      </c>
      <c r="G1253" s="34" t="s">
        <v>9529</v>
      </c>
      <c r="I1253" s="44" t="s">
        <v>11989</v>
      </c>
      <c r="J1253" s="36" t="s">
        <v>1997</v>
      </c>
    </row>
    <row r="1254" spans="1:10" x14ac:dyDescent="0.25">
      <c r="A1254" s="31" t="s">
        <v>1998</v>
      </c>
      <c r="B1254" s="31">
        <v>31</v>
      </c>
      <c r="C1254" s="32" t="s">
        <v>11992</v>
      </c>
      <c r="D1254" s="31" t="s">
        <v>11992</v>
      </c>
      <c r="E1254" s="40" t="s">
        <v>9530</v>
      </c>
      <c r="F1254" s="38" t="s">
        <v>9067</v>
      </c>
      <c r="G1254" s="34" t="s">
        <v>9530</v>
      </c>
      <c r="H1254" s="34" t="s">
        <v>9530</v>
      </c>
      <c r="I1254" s="45" t="s">
        <v>11992</v>
      </c>
      <c r="J1254" s="36" t="s">
        <v>1998</v>
      </c>
    </row>
    <row r="1255" spans="1:10" x14ac:dyDescent="0.25">
      <c r="A1255" s="31" t="s">
        <v>1999</v>
      </c>
      <c r="B1255" s="31">
        <v>31.01</v>
      </c>
      <c r="C1255" s="32" t="s">
        <v>11993</v>
      </c>
      <c r="D1255" s="31" t="s">
        <v>11992</v>
      </c>
      <c r="E1255" s="40" t="s">
        <v>9531</v>
      </c>
      <c r="F1255" s="38" t="s">
        <v>9067</v>
      </c>
      <c r="G1255" s="34" t="s">
        <v>9531</v>
      </c>
      <c r="H1255" s="34" t="s">
        <v>9531</v>
      </c>
      <c r="I1255" s="44" t="s">
        <v>11993</v>
      </c>
      <c r="J1255" s="36" t="s">
        <v>1999</v>
      </c>
    </row>
    <row r="1256" spans="1:10" x14ac:dyDescent="0.25">
      <c r="A1256" s="31" t="s">
        <v>1999</v>
      </c>
      <c r="B1256" s="31">
        <v>31.010100000000001</v>
      </c>
      <c r="C1256" s="32" t="s">
        <v>11994</v>
      </c>
      <c r="D1256" s="31" t="s">
        <v>11992</v>
      </c>
      <c r="E1256" s="40" t="s">
        <v>11995</v>
      </c>
      <c r="F1256" s="38" t="s">
        <v>9067</v>
      </c>
      <c r="G1256" s="34" t="s">
        <v>9531</v>
      </c>
      <c r="I1256" s="44" t="s">
        <v>11993</v>
      </c>
      <c r="J1256" s="36" t="s">
        <v>1999</v>
      </c>
    </row>
    <row r="1257" spans="1:10" x14ac:dyDescent="0.25">
      <c r="A1257" s="31" t="s">
        <v>2000</v>
      </c>
      <c r="B1257" s="31">
        <v>31.03</v>
      </c>
      <c r="C1257" s="32" t="s">
        <v>11996</v>
      </c>
      <c r="D1257" s="31" t="s">
        <v>11992</v>
      </c>
      <c r="E1257" s="40" t="s">
        <v>9532</v>
      </c>
      <c r="F1257" s="38" t="s">
        <v>9067</v>
      </c>
      <c r="G1257" s="34" t="s">
        <v>9532</v>
      </c>
      <c r="H1257" s="34" t="s">
        <v>9532</v>
      </c>
      <c r="I1257" s="44" t="s">
        <v>11996</v>
      </c>
      <c r="J1257" s="36" t="s">
        <v>2000</v>
      </c>
    </row>
    <row r="1258" spans="1:10" x14ac:dyDescent="0.25">
      <c r="A1258" s="31" t="s">
        <v>2001</v>
      </c>
      <c r="B1258" s="31">
        <v>31.030100000000001</v>
      </c>
      <c r="C1258" s="32" t="s">
        <v>11997</v>
      </c>
      <c r="D1258" s="31" t="s">
        <v>11992</v>
      </c>
      <c r="E1258" s="40" t="s">
        <v>11998</v>
      </c>
      <c r="F1258" s="38" t="s">
        <v>9067</v>
      </c>
      <c r="G1258" s="34" t="s">
        <v>9532</v>
      </c>
      <c r="I1258" s="44" t="s">
        <v>11996</v>
      </c>
      <c r="J1258" s="36" t="s">
        <v>2001</v>
      </c>
    </row>
    <row r="1259" spans="1:10" x14ac:dyDescent="0.25">
      <c r="A1259" s="31" t="s">
        <v>955</v>
      </c>
      <c r="B1259" s="31">
        <v>31.030200000000001</v>
      </c>
      <c r="C1259" s="32" t="s">
        <v>11999</v>
      </c>
      <c r="D1259" s="31" t="s">
        <v>11992</v>
      </c>
      <c r="E1259" s="40" t="s">
        <v>12000</v>
      </c>
      <c r="F1259" s="38" t="s">
        <v>9067</v>
      </c>
      <c r="G1259" s="34" t="s">
        <v>9532</v>
      </c>
      <c r="I1259" s="44" t="s">
        <v>11996</v>
      </c>
      <c r="J1259" s="36" t="s">
        <v>955</v>
      </c>
    </row>
    <row r="1260" spans="1:10" x14ac:dyDescent="0.25">
      <c r="A1260" s="31" t="s">
        <v>2002</v>
      </c>
      <c r="B1260" s="31">
        <v>31.039899999999999</v>
      </c>
      <c r="C1260" s="32" t="s">
        <v>12001</v>
      </c>
      <c r="D1260" s="31" t="s">
        <v>11992</v>
      </c>
      <c r="E1260" s="40" t="s">
        <v>12002</v>
      </c>
      <c r="F1260" s="38" t="s">
        <v>9067</v>
      </c>
      <c r="G1260" s="34" t="s">
        <v>9532</v>
      </c>
      <c r="I1260" s="44" t="s">
        <v>11996</v>
      </c>
      <c r="J1260" s="36" t="s">
        <v>2002</v>
      </c>
    </row>
    <row r="1261" spans="1:10" x14ac:dyDescent="0.25">
      <c r="A1261" s="31" t="s">
        <v>2003</v>
      </c>
      <c r="B1261" s="31">
        <v>31.05</v>
      </c>
      <c r="C1261" s="32" t="s">
        <v>12003</v>
      </c>
      <c r="D1261" s="31" t="s">
        <v>11992</v>
      </c>
      <c r="E1261" s="40" t="s">
        <v>9533</v>
      </c>
      <c r="F1261" s="38" t="s">
        <v>9067</v>
      </c>
      <c r="G1261" s="34" t="s">
        <v>9533</v>
      </c>
      <c r="H1261" s="34" t="s">
        <v>9533</v>
      </c>
      <c r="I1261" s="44" t="s">
        <v>12003</v>
      </c>
      <c r="J1261" s="36" t="s">
        <v>2003</v>
      </c>
    </row>
    <row r="1262" spans="1:10" x14ac:dyDescent="0.25">
      <c r="A1262" s="31" t="s">
        <v>2004</v>
      </c>
      <c r="B1262" s="31">
        <v>31.0501</v>
      </c>
      <c r="C1262" s="32" t="s">
        <v>12004</v>
      </c>
      <c r="D1262" s="31" t="s">
        <v>11992</v>
      </c>
      <c r="E1262" s="40" t="s">
        <v>12005</v>
      </c>
      <c r="F1262" s="38" t="s">
        <v>9067</v>
      </c>
      <c r="G1262" s="34" t="s">
        <v>9533</v>
      </c>
      <c r="I1262" s="44" t="s">
        <v>12003</v>
      </c>
      <c r="J1262" s="36" t="s">
        <v>2004</v>
      </c>
    </row>
    <row r="1263" spans="1:10" x14ac:dyDescent="0.25">
      <c r="A1263" s="31" t="s">
        <v>956</v>
      </c>
      <c r="B1263" s="31">
        <v>31.0504</v>
      </c>
      <c r="C1263" s="32" t="s">
        <v>12006</v>
      </c>
      <c r="D1263" s="31" t="s">
        <v>11992</v>
      </c>
      <c r="E1263" s="40" t="s">
        <v>12007</v>
      </c>
      <c r="F1263" s="38" t="s">
        <v>9067</v>
      </c>
      <c r="G1263" s="34" t="s">
        <v>9533</v>
      </c>
      <c r="I1263" s="44" t="s">
        <v>12003</v>
      </c>
      <c r="J1263" s="36" t="s">
        <v>956</v>
      </c>
    </row>
    <row r="1264" spans="1:10" x14ac:dyDescent="0.25">
      <c r="A1264" s="31" t="s">
        <v>2005</v>
      </c>
      <c r="B1264" s="31">
        <v>31.0505</v>
      </c>
      <c r="C1264" s="32" t="s">
        <v>12008</v>
      </c>
      <c r="D1264" s="31" t="s">
        <v>11992</v>
      </c>
      <c r="E1264" s="40" t="s">
        <v>12009</v>
      </c>
      <c r="F1264" s="38" t="s">
        <v>9067</v>
      </c>
      <c r="G1264" s="34" t="s">
        <v>9533</v>
      </c>
      <c r="I1264" s="44" t="s">
        <v>12003</v>
      </c>
      <c r="J1264" s="36" t="s">
        <v>2005</v>
      </c>
    </row>
    <row r="1265" spans="1:10" x14ac:dyDescent="0.25">
      <c r="A1265" s="31" t="s">
        <v>957</v>
      </c>
      <c r="B1265" s="31">
        <v>31.050699999999999</v>
      </c>
      <c r="C1265" s="32" t="s">
        <v>12010</v>
      </c>
      <c r="D1265" s="31" t="s">
        <v>11992</v>
      </c>
      <c r="E1265" s="40" t="s">
        <v>12011</v>
      </c>
      <c r="F1265" s="38" t="s">
        <v>9067</v>
      </c>
      <c r="G1265" s="34" t="s">
        <v>9533</v>
      </c>
      <c r="I1265" s="44" t="s">
        <v>12003</v>
      </c>
      <c r="J1265" s="36" t="s">
        <v>957</v>
      </c>
    </row>
    <row r="1266" spans="1:10" x14ac:dyDescent="0.25">
      <c r="A1266" s="31" t="s">
        <v>958</v>
      </c>
      <c r="B1266" s="31">
        <v>31.050799999999999</v>
      </c>
      <c r="C1266" s="32" t="s">
        <v>12012</v>
      </c>
      <c r="D1266" s="31" t="s">
        <v>11992</v>
      </c>
      <c r="E1266" s="40" t="s">
        <v>12013</v>
      </c>
      <c r="F1266" s="38" t="s">
        <v>9067</v>
      </c>
      <c r="G1266" s="34" t="s">
        <v>9533</v>
      </c>
      <c r="I1266" s="44" t="s">
        <v>12003</v>
      </c>
      <c r="J1266" s="36" t="s">
        <v>958</v>
      </c>
    </row>
    <row r="1267" spans="1:10" x14ac:dyDescent="0.25">
      <c r="A1267" s="31" t="s">
        <v>2006</v>
      </c>
      <c r="B1267" s="31">
        <v>31.059899999999999</v>
      </c>
      <c r="C1267" s="32" t="s">
        <v>12014</v>
      </c>
      <c r="D1267" s="31" t="s">
        <v>11992</v>
      </c>
      <c r="E1267" s="40" t="s">
        <v>12015</v>
      </c>
      <c r="F1267" s="38" t="s">
        <v>9067</v>
      </c>
      <c r="G1267" s="34" t="s">
        <v>9533</v>
      </c>
      <c r="I1267" s="44" t="s">
        <v>12003</v>
      </c>
      <c r="J1267" s="36" t="s">
        <v>2006</v>
      </c>
    </row>
    <row r="1268" spans="1:10" x14ac:dyDescent="0.25">
      <c r="A1268" s="31" t="s">
        <v>959</v>
      </c>
      <c r="B1268" s="31">
        <v>31.06</v>
      </c>
      <c r="C1268" s="32" t="s">
        <v>12016</v>
      </c>
      <c r="D1268" s="31" t="s">
        <v>11992</v>
      </c>
      <c r="E1268" s="40" t="s">
        <v>9534</v>
      </c>
      <c r="F1268" s="38" t="s">
        <v>9067</v>
      </c>
      <c r="G1268" s="34" t="s">
        <v>9534</v>
      </c>
      <c r="H1268" s="34" t="s">
        <v>9534</v>
      </c>
      <c r="I1268" s="35" t="s">
        <v>12016</v>
      </c>
      <c r="J1268" s="36" t="s">
        <v>959</v>
      </c>
    </row>
    <row r="1269" spans="1:10" x14ac:dyDescent="0.25">
      <c r="A1269" s="31" t="s">
        <v>959</v>
      </c>
      <c r="B1269" s="31">
        <v>31.060099999999998</v>
      </c>
      <c r="C1269" s="32" t="s">
        <v>12017</v>
      </c>
      <c r="D1269" s="31" t="s">
        <v>11992</v>
      </c>
      <c r="E1269" s="40" t="s">
        <v>12018</v>
      </c>
      <c r="F1269" s="38" t="s">
        <v>9067</v>
      </c>
      <c r="G1269" s="34" t="s">
        <v>9534</v>
      </c>
      <c r="I1269" s="35" t="s">
        <v>12016</v>
      </c>
      <c r="J1269" s="36" t="s">
        <v>959</v>
      </c>
    </row>
    <row r="1270" spans="1:10" x14ac:dyDescent="0.25">
      <c r="A1270" s="31" t="s">
        <v>2007</v>
      </c>
      <c r="B1270" s="31">
        <v>31.99</v>
      </c>
      <c r="C1270" s="32" t="s">
        <v>12019</v>
      </c>
      <c r="D1270" s="31" t="s">
        <v>11992</v>
      </c>
      <c r="E1270" s="40" t="s">
        <v>9535</v>
      </c>
      <c r="F1270" s="38" t="s">
        <v>9067</v>
      </c>
      <c r="G1270" s="34" t="s">
        <v>9535</v>
      </c>
      <c r="H1270" s="34" t="s">
        <v>9535</v>
      </c>
      <c r="I1270" s="35" t="s">
        <v>12019</v>
      </c>
      <c r="J1270" s="36" t="s">
        <v>2007</v>
      </c>
    </row>
    <row r="1271" spans="1:10" x14ac:dyDescent="0.25">
      <c r="A1271" s="31" t="s">
        <v>2007</v>
      </c>
      <c r="B1271" s="31">
        <v>31.9999</v>
      </c>
      <c r="C1271" s="32" t="s">
        <v>12020</v>
      </c>
      <c r="D1271" s="31" t="s">
        <v>11992</v>
      </c>
      <c r="E1271" s="40" t="s">
        <v>12021</v>
      </c>
      <c r="F1271" s="38" t="s">
        <v>9067</v>
      </c>
      <c r="G1271" s="34" t="s">
        <v>9535</v>
      </c>
      <c r="I1271" s="35" t="s">
        <v>12019</v>
      </c>
      <c r="J1271" s="36" t="s">
        <v>2007</v>
      </c>
    </row>
    <row r="1272" spans="1:10" x14ac:dyDescent="0.25">
      <c r="A1272" s="31" t="s">
        <v>960</v>
      </c>
      <c r="B1272" s="31">
        <v>32</v>
      </c>
      <c r="C1272" s="32" t="s">
        <v>12022</v>
      </c>
      <c r="D1272" s="31" t="s">
        <v>12022</v>
      </c>
      <c r="E1272" s="40" t="s">
        <v>9537</v>
      </c>
      <c r="F1272" s="41" t="s">
        <v>9536</v>
      </c>
      <c r="G1272" s="34" t="s">
        <v>9537</v>
      </c>
      <c r="H1272" s="34" t="s">
        <v>9537</v>
      </c>
      <c r="I1272" s="35" t="s">
        <v>12022</v>
      </c>
      <c r="J1272" s="36" t="s">
        <v>960</v>
      </c>
    </row>
    <row r="1273" spans="1:10" x14ac:dyDescent="0.25">
      <c r="A1273" s="31" t="s">
        <v>961</v>
      </c>
      <c r="B1273" s="31">
        <v>32.01</v>
      </c>
      <c r="C1273" s="32" t="s">
        <v>12023</v>
      </c>
      <c r="D1273" s="31" t="s">
        <v>12022</v>
      </c>
      <c r="E1273" s="40" t="s">
        <v>9538</v>
      </c>
      <c r="F1273" s="41" t="s">
        <v>9536</v>
      </c>
      <c r="G1273" s="34" t="s">
        <v>9538</v>
      </c>
      <c r="H1273" s="34" t="s">
        <v>9538</v>
      </c>
      <c r="I1273" s="35" t="s">
        <v>12023</v>
      </c>
      <c r="J1273" s="36" t="s">
        <v>961</v>
      </c>
    </row>
    <row r="1274" spans="1:10" x14ac:dyDescent="0.25">
      <c r="A1274" s="31" t="s">
        <v>962</v>
      </c>
      <c r="B1274" s="31">
        <v>32.010100000000001</v>
      </c>
      <c r="C1274" s="32" t="s">
        <v>12024</v>
      </c>
      <c r="D1274" s="31" t="s">
        <v>12022</v>
      </c>
      <c r="E1274" s="40" t="s">
        <v>12025</v>
      </c>
      <c r="F1274" s="41" t="s">
        <v>9536</v>
      </c>
      <c r="G1274" s="34" t="s">
        <v>9538</v>
      </c>
      <c r="I1274" s="35" t="s">
        <v>12023</v>
      </c>
      <c r="J1274" s="36" t="s">
        <v>962</v>
      </c>
    </row>
    <row r="1275" spans="1:10" x14ac:dyDescent="0.25">
      <c r="A1275" s="31" t="s">
        <v>963</v>
      </c>
      <c r="B1275" s="31">
        <v>32.010399999999997</v>
      </c>
      <c r="C1275" s="32" t="s">
        <v>12026</v>
      </c>
      <c r="D1275" s="31" t="s">
        <v>12022</v>
      </c>
      <c r="E1275" s="40" t="s">
        <v>12027</v>
      </c>
      <c r="F1275" s="41" t="s">
        <v>9536</v>
      </c>
      <c r="G1275" s="34" t="s">
        <v>9538</v>
      </c>
      <c r="I1275" s="35" t="s">
        <v>12023</v>
      </c>
      <c r="J1275" s="36" t="s">
        <v>963</v>
      </c>
    </row>
    <row r="1276" spans="1:10" x14ac:dyDescent="0.25">
      <c r="A1276" s="31" t="s">
        <v>964</v>
      </c>
      <c r="B1276" s="31">
        <v>32.0105</v>
      </c>
      <c r="C1276" s="32" t="s">
        <v>12028</v>
      </c>
      <c r="D1276" s="31" t="s">
        <v>12022</v>
      </c>
      <c r="E1276" s="40" t="s">
        <v>12029</v>
      </c>
      <c r="F1276" s="41" t="s">
        <v>9536</v>
      </c>
      <c r="G1276" s="34" t="s">
        <v>9538</v>
      </c>
      <c r="I1276" s="35" t="s">
        <v>12023</v>
      </c>
      <c r="J1276" s="36" t="s">
        <v>964</v>
      </c>
    </row>
    <row r="1277" spans="1:10" x14ac:dyDescent="0.25">
      <c r="A1277" s="31" t="s">
        <v>965</v>
      </c>
      <c r="B1277" s="31">
        <v>32.0107</v>
      </c>
      <c r="C1277" s="32" t="s">
        <v>12030</v>
      </c>
      <c r="D1277" s="31" t="s">
        <v>12022</v>
      </c>
      <c r="E1277" s="40" t="s">
        <v>12031</v>
      </c>
      <c r="F1277" s="41" t="s">
        <v>9536</v>
      </c>
      <c r="G1277" s="34" t="s">
        <v>9538</v>
      </c>
      <c r="I1277" s="35" t="s">
        <v>12023</v>
      </c>
      <c r="J1277" s="36" t="s">
        <v>965</v>
      </c>
    </row>
    <row r="1278" spans="1:10" x14ac:dyDescent="0.25">
      <c r="A1278" s="31" t="s">
        <v>966</v>
      </c>
      <c r="B1278" s="31">
        <v>32.010800000000003</v>
      </c>
      <c r="C1278" s="32" t="s">
        <v>12032</v>
      </c>
      <c r="D1278" s="31" t="s">
        <v>12022</v>
      </c>
      <c r="E1278" s="40" t="s">
        <v>12033</v>
      </c>
      <c r="F1278" s="41" t="s">
        <v>9536</v>
      </c>
      <c r="G1278" s="34" t="s">
        <v>9538</v>
      </c>
      <c r="I1278" s="35" t="s">
        <v>12023</v>
      </c>
      <c r="J1278" s="36" t="s">
        <v>966</v>
      </c>
    </row>
    <row r="1279" spans="1:10" x14ac:dyDescent="0.25">
      <c r="A1279" s="31" t="s">
        <v>967</v>
      </c>
      <c r="B1279" s="31">
        <v>32.010899999999999</v>
      </c>
      <c r="C1279" s="32" t="s">
        <v>12034</v>
      </c>
      <c r="D1279" s="31" t="s">
        <v>12022</v>
      </c>
      <c r="E1279" s="40" t="s">
        <v>12035</v>
      </c>
      <c r="F1279" s="41" t="s">
        <v>9536</v>
      </c>
      <c r="G1279" s="34" t="s">
        <v>9538</v>
      </c>
      <c r="I1279" s="35" t="s">
        <v>12023</v>
      </c>
      <c r="J1279" s="36" t="s">
        <v>967</v>
      </c>
    </row>
    <row r="1280" spans="1:10" x14ac:dyDescent="0.25">
      <c r="A1280" s="31" t="s">
        <v>968</v>
      </c>
      <c r="B1280" s="31">
        <v>32.011000000000003</v>
      </c>
      <c r="C1280" s="32" t="s">
        <v>12036</v>
      </c>
      <c r="D1280" s="31" t="s">
        <v>12022</v>
      </c>
      <c r="E1280" s="40" t="s">
        <v>12037</v>
      </c>
      <c r="F1280" s="41" t="s">
        <v>9536</v>
      </c>
      <c r="G1280" s="34" t="s">
        <v>9538</v>
      </c>
      <c r="I1280" s="35" t="s">
        <v>12023</v>
      </c>
      <c r="J1280" s="36" t="s">
        <v>968</v>
      </c>
    </row>
    <row r="1281" spans="1:10" x14ac:dyDescent="0.25">
      <c r="A1281" s="31" t="s">
        <v>969</v>
      </c>
      <c r="B1281" s="31">
        <v>32.011099999999999</v>
      </c>
      <c r="C1281" s="32" t="s">
        <v>12038</v>
      </c>
      <c r="D1281" s="31" t="s">
        <v>12022</v>
      </c>
      <c r="E1281" s="40" t="s">
        <v>12039</v>
      </c>
      <c r="F1281" s="41" t="s">
        <v>9536</v>
      </c>
      <c r="G1281" s="34" t="s">
        <v>9538</v>
      </c>
      <c r="I1281" s="35" t="s">
        <v>12023</v>
      </c>
      <c r="J1281" s="36" t="s">
        <v>969</v>
      </c>
    </row>
    <row r="1282" spans="1:10" x14ac:dyDescent="0.25">
      <c r="A1282" s="31" t="s">
        <v>2008</v>
      </c>
      <c r="B1282" s="31">
        <v>32.011200000000002</v>
      </c>
      <c r="C1282" s="32" t="s">
        <v>12040</v>
      </c>
      <c r="D1282" s="31" t="s">
        <v>12022</v>
      </c>
      <c r="E1282" s="40" t="s">
        <v>12041</v>
      </c>
      <c r="F1282" s="41" t="s">
        <v>9536</v>
      </c>
      <c r="G1282" s="34" t="s">
        <v>9538</v>
      </c>
      <c r="I1282" s="35" t="s">
        <v>12023</v>
      </c>
      <c r="J1282" s="36" t="s">
        <v>2008</v>
      </c>
    </row>
    <row r="1283" spans="1:10" x14ac:dyDescent="0.25">
      <c r="A1283" s="31" t="s">
        <v>970</v>
      </c>
      <c r="B1283" s="31">
        <v>32.0199</v>
      </c>
      <c r="C1283" s="32" t="s">
        <v>12042</v>
      </c>
      <c r="D1283" s="31" t="s">
        <v>12022</v>
      </c>
      <c r="E1283" s="40" t="s">
        <v>12043</v>
      </c>
      <c r="F1283" s="41" t="s">
        <v>9536</v>
      </c>
      <c r="G1283" s="34" t="s">
        <v>9538</v>
      </c>
      <c r="I1283" s="35" t="s">
        <v>12023</v>
      </c>
      <c r="J1283" s="36" t="s">
        <v>970</v>
      </c>
    </row>
    <row r="1284" spans="1:10" x14ac:dyDescent="0.25">
      <c r="A1284" s="31" t="s">
        <v>2009</v>
      </c>
      <c r="B1284" s="31">
        <v>32.020000000000003</v>
      </c>
      <c r="C1284" s="32" t="s">
        <v>12044</v>
      </c>
      <c r="D1284" s="31" t="s">
        <v>12022</v>
      </c>
      <c r="E1284" s="40" t="s">
        <v>9539</v>
      </c>
      <c r="F1284" s="41" t="s">
        <v>9536</v>
      </c>
      <c r="G1284" s="34" t="s">
        <v>9539</v>
      </c>
      <c r="H1284" s="34" t="s">
        <v>9539</v>
      </c>
      <c r="I1284" s="35" t="s">
        <v>12044</v>
      </c>
      <c r="J1284" s="36" t="s">
        <v>2009</v>
      </c>
    </row>
    <row r="1285" spans="1:10" x14ac:dyDescent="0.25">
      <c r="A1285" s="31" t="s">
        <v>2010</v>
      </c>
      <c r="B1285" s="31">
        <v>32.020099999999999</v>
      </c>
      <c r="C1285" s="32" t="s">
        <v>12045</v>
      </c>
      <c r="D1285" s="31" t="s">
        <v>12022</v>
      </c>
      <c r="E1285" s="40" t="s">
        <v>12046</v>
      </c>
      <c r="F1285" s="41" t="s">
        <v>9536</v>
      </c>
      <c r="G1285" s="34" t="s">
        <v>9539</v>
      </c>
      <c r="I1285" s="35" t="s">
        <v>12044</v>
      </c>
      <c r="J1285" s="36" t="s">
        <v>2010</v>
      </c>
    </row>
    <row r="1286" spans="1:10" x14ac:dyDescent="0.25">
      <c r="A1286" s="31" t="s">
        <v>2011</v>
      </c>
      <c r="B1286" s="31">
        <v>32.020200000000003</v>
      </c>
      <c r="C1286" s="32" t="s">
        <v>12047</v>
      </c>
      <c r="D1286" s="31" t="s">
        <v>12022</v>
      </c>
      <c r="E1286" s="40" t="s">
        <v>12048</v>
      </c>
      <c r="F1286" s="41" t="s">
        <v>9536</v>
      </c>
      <c r="G1286" s="34" t="s">
        <v>9539</v>
      </c>
      <c r="I1286" s="35" t="s">
        <v>12044</v>
      </c>
      <c r="J1286" s="36" t="s">
        <v>2011</v>
      </c>
    </row>
    <row r="1287" spans="1:10" x14ac:dyDescent="0.25">
      <c r="A1287" s="31" t="s">
        <v>2012</v>
      </c>
      <c r="B1287" s="31">
        <v>32.020299999999999</v>
      </c>
      <c r="C1287" s="32" t="s">
        <v>12049</v>
      </c>
      <c r="D1287" s="31" t="s">
        <v>12022</v>
      </c>
      <c r="E1287" s="40" t="s">
        <v>12050</v>
      </c>
      <c r="F1287" s="41" t="s">
        <v>9536</v>
      </c>
      <c r="G1287" s="34" t="s">
        <v>9539</v>
      </c>
      <c r="I1287" s="35" t="s">
        <v>12044</v>
      </c>
      <c r="J1287" s="36" t="s">
        <v>2012</v>
      </c>
    </row>
    <row r="1288" spans="1:10" x14ac:dyDescent="0.25">
      <c r="A1288" s="31" t="s">
        <v>2013</v>
      </c>
      <c r="B1288" s="31">
        <v>32.020400000000002</v>
      </c>
      <c r="C1288" s="32" t="s">
        <v>12051</v>
      </c>
      <c r="D1288" s="31" t="s">
        <v>12022</v>
      </c>
      <c r="E1288" s="40" t="s">
        <v>12052</v>
      </c>
      <c r="F1288" s="41" t="s">
        <v>9536</v>
      </c>
      <c r="G1288" s="34" t="s">
        <v>9539</v>
      </c>
      <c r="I1288" s="35" t="s">
        <v>12044</v>
      </c>
      <c r="J1288" s="36" t="s">
        <v>2013</v>
      </c>
    </row>
    <row r="1289" spans="1:10" x14ac:dyDescent="0.25">
      <c r="A1289" s="31" t="s">
        <v>2014</v>
      </c>
      <c r="B1289" s="31">
        <v>32.020499999999998</v>
      </c>
      <c r="C1289" s="32" t="s">
        <v>12053</v>
      </c>
      <c r="D1289" s="31" t="s">
        <v>12022</v>
      </c>
      <c r="E1289" s="40" t="s">
        <v>12054</v>
      </c>
      <c r="F1289" s="41" t="s">
        <v>9536</v>
      </c>
      <c r="G1289" s="34" t="s">
        <v>9539</v>
      </c>
      <c r="I1289" s="35" t="s">
        <v>12044</v>
      </c>
      <c r="J1289" s="36" t="s">
        <v>2014</v>
      </c>
    </row>
    <row r="1290" spans="1:10" x14ac:dyDescent="0.25">
      <c r="A1290" s="31" t="s">
        <v>2015</v>
      </c>
      <c r="B1290" s="31">
        <v>32.029899999999998</v>
      </c>
      <c r="C1290" s="32" t="s">
        <v>12055</v>
      </c>
      <c r="D1290" s="31" t="s">
        <v>12022</v>
      </c>
      <c r="E1290" s="40" t="s">
        <v>12056</v>
      </c>
      <c r="F1290" s="41" t="s">
        <v>9536</v>
      </c>
      <c r="G1290" s="34" t="s">
        <v>9539</v>
      </c>
      <c r="I1290" s="35" t="s">
        <v>12044</v>
      </c>
      <c r="J1290" s="36" t="s">
        <v>2015</v>
      </c>
    </row>
    <row r="1291" spans="1:10" x14ac:dyDescent="0.25">
      <c r="A1291" s="31" t="s">
        <v>971</v>
      </c>
      <c r="B1291" s="31">
        <v>33</v>
      </c>
      <c r="C1291" s="32" t="s">
        <v>12057</v>
      </c>
      <c r="D1291" s="31" t="s">
        <v>12057</v>
      </c>
      <c r="E1291" s="40" t="s">
        <v>9541</v>
      </c>
      <c r="F1291" s="41" t="s">
        <v>9540</v>
      </c>
      <c r="G1291" s="34" t="s">
        <v>9541</v>
      </c>
      <c r="H1291" s="34" t="s">
        <v>9541</v>
      </c>
      <c r="I1291" s="35" t="s">
        <v>12057</v>
      </c>
      <c r="J1291" s="36" t="s">
        <v>971</v>
      </c>
    </row>
    <row r="1292" spans="1:10" x14ac:dyDescent="0.25">
      <c r="A1292" s="31" t="s">
        <v>972</v>
      </c>
      <c r="B1292" s="31">
        <v>33.01</v>
      </c>
      <c r="C1292" s="32" t="s">
        <v>12058</v>
      </c>
      <c r="D1292" s="31" t="s">
        <v>12057</v>
      </c>
      <c r="E1292" s="40" t="s">
        <v>9542</v>
      </c>
      <c r="F1292" s="41" t="s">
        <v>9540</v>
      </c>
      <c r="G1292" s="34" t="s">
        <v>9542</v>
      </c>
      <c r="H1292" s="34" t="s">
        <v>9542</v>
      </c>
      <c r="I1292" s="35" t="s">
        <v>12058</v>
      </c>
      <c r="J1292" s="36" t="s">
        <v>972</v>
      </c>
    </row>
    <row r="1293" spans="1:10" x14ac:dyDescent="0.25">
      <c r="A1293" s="31" t="s">
        <v>973</v>
      </c>
      <c r="B1293" s="31">
        <v>33.010100000000001</v>
      </c>
      <c r="C1293" s="32" t="s">
        <v>12059</v>
      </c>
      <c r="D1293" s="31" t="s">
        <v>12057</v>
      </c>
      <c r="E1293" s="40" t="s">
        <v>12060</v>
      </c>
      <c r="F1293" s="41" t="s">
        <v>9540</v>
      </c>
      <c r="G1293" s="34" t="s">
        <v>9542</v>
      </c>
      <c r="I1293" s="35" t="s">
        <v>12058</v>
      </c>
      <c r="J1293" s="36" t="s">
        <v>973</v>
      </c>
    </row>
    <row r="1294" spans="1:10" x14ac:dyDescent="0.25">
      <c r="A1294" s="31" t="s">
        <v>974</v>
      </c>
      <c r="B1294" s="31">
        <v>33.010199999999998</v>
      </c>
      <c r="C1294" s="32" t="s">
        <v>12061</v>
      </c>
      <c r="D1294" s="31" t="s">
        <v>12057</v>
      </c>
      <c r="E1294" s="40" t="s">
        <v>12062</v>
      </c>
      <c r="F1294" s="41" t="s">
        <v>9540</v>
      </c>
      <c r="G1294" s="34" t="s">
        <v>9542</v>
      </c>
      <c r="I1294" s="35" t="s">
        <v>12058</v>
      </c>
      <c r="J1294" s="36" t="s">
        <v>974</v>
      </c>
    </row>
    <row r="1295" spans="1:10" x14ac:dyDescent="0.25">
      <c r="A1295" s="31" t="s">
        <v>975</v>
      </c>
      <c r="B1295" s="31">
        <v>33.010300000000001</v>
      </c>
      <c r="C1295" s="32" t="s">
        <v>12063</v>
      </c>
      <c r="D1295" s="31" t="s">
        <v>12057</v>
      </c>
      <c r="E1295" s="40" t="s">
        <v>12064</v>
      </c>
      <c r="F1295" s="41" t="s">
        <v>9540</v>
      </c>
      <c r="G1295" s="34" t="s">
        <v>9542</v>
      </c>
      <c r="I1295" s="35" t="s">
        <v>12058</v>
      </c>
      <c r="J1295" s="36" t="s">
        <v>975</v>
      </c>
    </row>
    <row r="1296" spans="1:10" x14ac:dyDescent="0.25">
      <c r="A1296" s="31" t="s">
        <v>976</v>
      </c>
      <c r="B1296" s="31">
        <v>33.010399999999997</v>
      </c>
      <c r="C1296" s="32" t="s">
        <v>12065</v>
      </c>
      <c r="D1296" s="31" t="s">
        <v>12057</v>
      </c>
      <c r="E1296" s="40" t="s">
        <v>12066</v>
      </c>
      <c r="F1296" s="41" t="s">
        <v>9540</v>
      </c>
      <c r="G1296" s="34" t="s">
        <v>9542</v>
      </c>
      <c r="I1296" s="35" t="s">
        <v>12058</v>
      </c>
      <c r="J1296" s="36" t="s">
        <v>976</v>
      </c>
    </row>
    <row r="1297" spans="1:10" x14ac:dyDescent="0.25">
      <c r="A1297" s="31" t="s">
        <v>977</v>
      </c>
      <c r="B1297" s="31">
        <v>33.0105</v>
      </c>
      <c r="C1297" s="32" t="s">
        <v>12067</v>
      </c>
      <c r="D1297" s="31" t="s">
        <v>12057</v>
      </c>
      <c r="E1297" s="40" t="s">
        <v>12068</v>
      </c>
      <c r="F1297" s="41" t="s">
        <v>9540</v>
      </c>
      <c r="G1297" s="34" t="s">
        <v>9542</v>
      </c>
      <c r="I1297" s="35" t="s">
        <v>12058</v>
      </c>
      <c r="J1297" s="36" t="s">
        <v>977</v>
      </c>
    </row>
    <row r="1298" spans="1:10" x14ac:dyDescent="0.25">
      <c r="A1298" s="31" t="s">
        <v>2016</v>
      </c>
      <c r="B1298" s="31">
        <v>33.010599999999997</v>
      </c>
      <c r="C1298" s="32" t="s">
        <v>12069</v>
      </c>
      <c r="D1298" s="31" t="s">
        <v>12057</v>
      </c>
      <c r="E1298" s="40" t="s">
        <v>12070</v>
      </c>
      <c r="F1298" s="41" t="s">
        <v>9540</v>
      </c>
      <c r="G1298" s="34" t="s">
        <v>9542</v>
      </c>
      <c r="I1298" s="35" t="s">
        <v>12058</v>
      </c>
      <c r="J1298" s="36" t="s">
        <v>2016</v>
      </c>
    </row>
    <row r="1299" spans="1:10" x14ac:dyDescent="0.25">
      <c r="A1299" s="31" t="s">
        <v>978</v>
      </c>
      <c r="B1299" s="31">
        <v>33.0199</v>
      </c>
      <c r="C1299" s="32" t="s">
        <v>12071</v>
      </c>
      <c r="D1299" s="31" t="s">
        <v>12057</v>
      </c>
      <c r="E1299" s="40" t="s">
        <v>12072</v>
      </c>
      <c r="F1299" s="41" t="s">
        <v>9540</v>
      </c>
      <c r="G1299" s="34" t="s">
        <v>9542</v>
      </c>
      <c r="I1299" s="35" t="s">
        <v>12058</v>
      </c>
      <c r="J1299" s="36" t="s">
        <v>978</v>
      </c>
    </row>
    <row r="1300" spans="1:10" x14ac:dyDescent="0.25">
      <c r="A1300" s="31" t="s">
        <v>979</v>
      </c>
      <c r="B1300" s="31">
        <v>34</v>
      </c>
      <c r="C1300" s="32" t="s">
        <v>12073</v>
      </c>
      <c r="D1300" s="31" t="s">
        <v>12073</v>
      </c>
      <c r="E1300" s="40" t="s">
        <v>9544</v>
      </c>
      <c r="F1300" s="41" t="s">
        <v>9543</v>
      </c>
      <c r="G1300" s="34" t="s">
        <v>9544</v>
      </c>
      <c r="H1300" s="34" t="s">
        <v>9544</v>
      </c>
      <c r="I1300" s="35" t="s">
        <v>12073</v>
      </c>
      <c r="J1300" s="36" t="s">
        <v>979</v>
      </c>
    </row>
    <row r="1301" spans="1:10" x14ac:dyDescent="0.25">
      <c r="A1301" s="31" t="s">
        <v>980</v>
      </c>
      <c r="B1301" s="31">
        <v>34.01</v>
      </c>
      <c r="C1301" s="32" t="s">
        <v>12074</v>
      </c>
      <c r="D1301" s="31" t="s">
        <v>12073</v>
      </c>
      <c r="E1301" s="40" t="s">
        <v>9545</v>
      </c>
      <c r="F1301" s="41" t="s">
        <v>9543</v>
      </c>
      <c r="G1301" s="34" t="s">
        <v>9545</v>
      </c>
      <c r="H1301" s="34" t="s">
        <v>9545</v>
      </c>
      <c r="I1301" s="35" t="s">
        <v>12074</v>
      </c>
      <c r="J1301" s="36" t="s">
        <v>980</v>
      </c>
    </row>
    <row r="1302" spans="1:10" x14ac:dyDescent="0.25">
      <c r="A1302" s="31" t="s">
        <v>981</v>
      </c>
      <c r="B1302" s="31">
        <v>34.010199999999998</v>
      </c>
      <c r="C1302" s="32" t="s">
        <v>12075</v>
      </c>
      <c r="D1302" s="31" t="s">
        <v>12073</v>
      </c>
      <c r="E1302" s="40" t="s">
        <v>12076</v>
      </c>
      <c r="F1302" s="41" t="s">
        <v>9543</v>
      </c>
      <c r="G1302" s="34" t="s">
        <v>9545</v>
      </c>
      <c r="I1302" s="35" t="s">
        <v>12074</v>
      </c>
      <c r="J1302" s="36" t="s">
        <v>981</v>
      </c>
    </row>
    <row r="1303" spans="1:10" x14ac:dyDescent="0.25">
      <c r="A1303" s="31" t="s">
        <v>982</v>
      </c>
      <c r="B1303" s="31">
        <v>34.010300000000001</v>
      </c>
      <c r="C1303" s="32" t="s">
        <v>12077</v>
      </c>
      <c r="D1303" s="31" t="s">
        <v>12073</v>
      </c>
      <c r="E1303" s="40" t="s">
        <v>12078</v>
      </c>
      <c r="F1303" s="41" t="s">
        <v>9543</v>
      </c>
      <c r="G1303" s="34" t="s">
        <v>9545</v>
      </c>
      <c r="I1303" s="35" t="s">
        <v>12074</v>
      </c>
      <c r="J1303" s="36" t="s">
        <v>982</v>
      </c>
    </row>
    <row r="1304" spans="1:10" x14ac:dyDescent="0.25">
      <c r="A1304" s="31" t="s">
        <v>983</v>
      </c>
      <c r="B1304" s="31">
        <v>34.010399999999997</v>
      </c>
      <c r="C1304" s="32" t="s">
        <v>12079</v>
      </c>
      <c r="D1304" s="31" t="s">
        <v>12073</v>
      </c>
      <c r="E1304" s="40" t="s">
        <v>12080</v>
      </c>
      <c r="F1304" s="41" t="s">
        <v>9543</v>
      </c>
      <c r="G1304" s="34" t="s">
        <v>9545</v>
      </c>
      <c r="I1304" s="35" t="s">
        <v>12074</v>
      </c>
      <c r="J1304" s="36" t="s">
        <v>983</v>
      </c>
    </row>
    <row r="1305" spans="1:10" x14ac:dyDescent="0.25">
      <c r="A1305" s="31" t="s">
        <v>2017</v>
      </c>
      <c r="B1305" s="31">
        <v>34.0105</v>
      </c>
      <c r="C1305" s="32" t="s">
        <v>12081</v>
      </c>
      <c r="D1305" s="31" t="s">
        <v>12073</v>
      </c>
      <c r="E1305" s="40" t="s">
        <v>12082</v>
      </c>
      <c r="F1305" s="41" t="s">
        <v>9543</v>
      </c>
      <c r="G1305" s="34" t="s">
        <v>9545</v>
      </c>
      <c r="I1305" s="35" t="s">
        <v>12074</v>
      </c>
      <c r="J1305" s="36" t="s">
        <v>2017</v>
      </c>
    </row>
    <row r="1306" spans="1:10" x14ac:dyDescent="0.25">
      <c r="A1306" s="31" t="s">
        <v>984</v>
      </c>
      <c r="B1306" s="31">
        <v>34.0199</v>
      </c>
      <c r="C1306" s="32" t="s">
        <v>12083</v>
      </c>
      <c r="D1306" s="31" t="s">
        <v>12073</v>
      </c>
      <c r="E1306" s="40" t="s">
        <v>12084</v>
      </c>
      <c r="F1306" s="41" t="s">
        <v>9543</v>
      </c>
      <c r="G1306" s="34" t="s">
        <v>9545</v>
      </c>
      <c r="I1306" s="35" t="s">
        <v>12074</v>
      </c>
      <c r="J1306" s="36" t="s">
        <v>984</v>
      </c>
    </row>
    <row r="1307" spans="1:10" x14ac:dyDescent="0.25">
      <c r="A1307" s="31" t="s">
        <v>985</v>
      </c>
      <c r="B1307" s="31">
        <v>35</v>
      </c>
      <c r="C1307" s="32" t="s">
        <v>12085</v>
      </c>
      <c r="D1307" s="31" t="s">
        <v>12085</v>
      </c>
      <c r="E1307" s="40" t="s">
        <v>9547</v>
      </c>
      <c r="F1307" s="41" t="s">
        <v>9546</v>
      </c>
      <c r="G1307" s="34" t="s">
        <v>9547</v>
      </c>
      <c r="H1307" s="34" t="s">
        <v>9547</v>
      </c>
      <c r="I1307" s="35" t="s">
        <v>12085</v>
      </c>
      <c r="J1307" s="36" t="s">
        <v>985</v>
      </c>
    </row>
    <row r="1308" spans="1:10" x14ac:dyDescent="0.25">
      <c r="A1308" s="31" t="s">
        <v>986</v>
      </c>
      <c r="B1308" s="31">
        <v>35.01</v>
      </c>
      <c r="C1308" s="32" t="s">
        <v>12086</v>
      </c>
      <c r="D1308" s="31" t="s">
        <v>12085</v>
      </c>
      <c r="E1308" s="40" t="s">
        <v>9548</v>
      </c>
      <c r="F1308" s="41" t="s">
        <v>9546</v>
      </c>
      <c r="G1308" s="34" t="s">
        <v>9548</v>
      </c>
      <c r="H1308" s="34" t="s">
        <v>9548</v>
      </c>
      <c r="I1308" s="35" t="s">
        <v>12086</v>
      </c>
      <c r="J1308" s="36" t="s">
        <v>986</v>
      </c>
    </row>
    <row r="1309" spans="1:10" x14ac:dyDescent="0.25">
      <c r="A1309" s="31" t="s">
        <v>987</v>
      </c>
      <c r="B1309" s="31">
        <v>35.010100000000001</v>
      </c>
      <c r="C1309" s="32" t="s">
        <v>12087</v>
      </c>
      <c r="D1309" s="31" t="s">
        <v>12085</v>
      </c>
      <c r="E1309" s="40" t="s">
        <v>12088</v>
      </c>
      <c r="F1309" s="41" t="s">
        <v>9546</v>
      </c>
      <c r="G1309" s="34" t="s">
        <v>9548</v>
      </c>
      <c r="I1309" s="35" t="s">
        <v>12086</v>
      </c>
      <c r="J1309" s="36" t="s">
        <v>987</v>
      </c>
    </row>
    <row r="1310" spans="1:10" x14ac:dyDescent="0.25">
      <c r="A1310" s="31" t="s">
        <v>988</v>
      </c>
      <c r="B1310" s="31">
        <v>35.010199999999998</v>
      </c>
      <c r="C1310" s="32" t="s">
        <v>12089</v>
      </c>
      <c r="D1310" s="31" t="s">
        <v>12085</v>
      </c>
      <c r="E1310" s="40" t="s">
        <v>12090</v>
      </c>
      <c r="F1310" s="41" t="s">
        <v>9546</v>
      </c>
      <c r="G1310" s="34" t="s">
        <v>9548</v>
      </c>
      <c r="I1310" s="35" t="s">
        <v>12086</v>
      </c>
      <c r="J1310" s="36" t="s">
        <v>988</v>
      </c>
    </row>
    <row r="1311" spans="1:10" x14ac:dyDescent="0.25">
      <c r="A1311" s="31" t="s">
        <v>989</v>
      </c>
      <c r="B1311" s="31">
        <v>35.010300000000001</v>
      </c>
      <c r="C1311" s="32" t="s">
        <v>12091</v>
      </c>
      <c r="D1311" s="31" t="s">
        <v>12085</v>
      </c>
      <c r="E1311" s="40" t="s">
        <v>12092</v>
      </c>
      <c r="F1311" s="41" t="s">
        <v>9546</v>
      </c>
      <c r="G1311" s="34" t="s">
        <v>9548</v>
      </c>
      <c r="I1311" s="35" t="s">
        <v>12086</v>
      </c>
      <c r="J1311" s="36" t="s">
        <v>989</v>
      </c>
    </row>
    <row r="1312" spans="1:10" x14ac:dyDescent="0.25">
      <c r="A1312" s="31" t="s">
        <v>2018</v>
      </c>
      <c r="B1312" s="31">
        <v>35.0105</v>
      </c>
      <c r="C1312" s="32" t="s">
        <v>12093</v>
      </c>
      <c r="D1312" s="31" t="s">
        <v>12085</v>
      </c>
      <c r="E1312" s="40" t="s">
        <v>12094</v>
      </c>
      <c r="F1312" s="41" t="s">
        <v>9546</v>
      </c>
      <c r="G1312" s="34" t="s">
        <v>9548</v>
      </c>
      <c r="I1312" s="35" t="s">
        <v>12086</v>
      </c>
      <c r="J1312" s="36" t="s">
        <v>2018</v>
      </c>
    </row>
    <row r="1313" spans="1:10" x14ac:dyDescent="0.25">
      <c r="A1313" s="31" t="s">
        <v>990</v>
      </c>
      <c r="B1313" s="31">
        <v>35.0199</v>
      </c>
      <c r="C1313" s="32" t="s">
        <v>12095</v>
      </c>
      <c r="D1313" s="31" t="s">
        <v>12085</v>
      </c>
      <c r="E1313" s="40" t="s">
        <v>12096</v>
      </c>
      <c r="F1313" s="41" t="s">
        <v>9546</v>
      </c>
      <c r="G1313" s="34" t="s">
        <v>9548</v>
      </c>
      <c r="I1313" s="35" t="s">
        <v>12086</v>
      </c>
      <c r="J1313" s="36" t="s">
        <v>990</v>
      </c>
    </row>
    <row r="1314" spans="1:10" x14ac:dyDescent="0.25">
      <c r="A1314" s="31" t="s">
        <v>991</v>
      </c>
      <c r="B1314" s="31">
        <v>36</v>
      </c>
      <c r="C1314" s="32" t="s">
        <v>12097</v>
      </c>
      <c r="D1314" s="31" t="s">
        <v>12097</v>
      </c>
      <c r="E1314" s="40" t="s">
        <v>9549</v>
      </c>
      <c r="F1314" s="38" t="s">
        <v>9073</v>
      </c>
      <c r="G1314" s="34" t="s">
        <v>9549</v>
      </c>
      <c r="H1314" s="34" t="s">
        <v>9549</v>
      </c>
      <c r="I1314" s="35" t="s">
        <v>12097</v>
      </c>
      <c r="J1314" s="36" t="s">
        <v>991</v>
      </c>
    </row>
    <row r="1315" spans="1:10" x14ac:dyDescent="0.25">
      <c r="A1315" s="31" t="s">
        <v>992</v>
      </c>
      <c r="B1315" s="31">
        <v>36.01</v>
      </c>
      <c r="C1315" s="32" t="s">
        <v>12098</v>
      </c>
      <c r="D1315" s="31" t="s">
        <v>12097</v>
      </c>
      <c r="E1315" s="40" t="s">
        <v>9550</v>
      </c>
      <c r="F1315" s="38" t="s">
        <v>9073</v>
      </c>
      <c r="G1315" s="34" t="s">
        <v>9550</v>
      </c>
      <c r="H1315" s="34" t="s">
        <v>9550</v>
      </c>
      <c r="I1315" s="35" t="s">
        <v>12098</v>
      </c>
      <c r="J1315" s="36" t="s">
        <v>992</v>
      </c>
    </row>
    <row r="1316" spans="1:10" x14ac:dyDescent="0.25">
      <c r="A1316" s="31" t="s">
        <v>993</v>
      </c>
      <c r="B1316" s="31">
        <v>36.010100000000001</v>
      </c>
      <c r="C1316" s="32" t="s">
        <v>12099</v>
      </c>
      <c r="D1316" s="31" t="s">
        <v>12097</v>
      </c>
      <c r="E1316" s="40" t="s">
        <v>12100</v>
      </c>
      <c r="F1316" s="38" t="s">
        <v>9073</v>
      </c>
      <c r="G1316" s="34" t="s">
        <v>9550</v>
      </c>
      <c r="I1316" s="35" t="s">
        <v>12098</v>
      </c>
      <c r="J1316" s="36" t="s">
        <v>993</v>
      </c>
    </row>
    <row r="1317" spans="1:10" x14ac:dyDescent="0.25">
      <c r="A1317" s="31" t="s">
        <v>994</v>
      </c>
      <c r="B1317" s="31">
        <v>36.010199999999998</v>
      </c>
      <c r="C1317" s="32" t="s">
        <v>12101</v>
      </c>
      <c r="D1317" s="31" t="s">
        <v>12097</v>
      </c>
      <c r="E1317" s="40" t="s">
        <v>12102</v>
      </c>
      <c r="F1317" s="38" t="s">
        <v>9073</v>
      </c>
      <c r="G1317" s="34" t="s">
        <v>9550</v>
      </c>
      <c r="I1317" s="35" t="s">
        <v>12098</v>
      </c>
      <c r="J1317" s="36" t="s">
        <v>994</v>
      </c>
    </row>
    <row r="1318" spans="1:10" x14ac:dyDescent="0.25">
      <c r="A1318" s="31" t="s">
        <v>995</v>
      </c>
      <c r="B1318" s="31">
        <v>36.010300000000001</v>
      </c>
      <c r="C1318" s="32" t="s">
        <v>12103</v>
      </c>
      <c r="D1318" s="31" t="s">
        <v>12097</v>
      </c>
      <c r="E1318" s="40" t="s">
        <v>12104</v>
      </c>
      <c r="F1318" s="38" t="s">
        <v>9073</v>
      </c>
      <c r="G1318" s="34" t="s">
        <v>9550</v>
      </c>
      <c r="I1318" s="35" t="s">
        <v>12098</v>
      </c>
      <c r="J1318" s="36" t="s">
        <v>995</v>
      </c>
    </row>
    <row r="1319" spans="1:10" x14ac:dyDescent="0.25">
      <c r="A1319" s="31" t="s">
        <v>996</v>
      </c>
      <c r="B1319" s="31">
        <v>36.0105</v>
      </c>
      <c r="C1319" s="32" t="s">
        <v>12105</v>
      </c>
      <c r="D1319" s="31" t="s">
        <v>12097</v>
      </c>
      <c r="E1319" s="40" t="s">
        <v>12106</v>
      </c>
      <c r="F1319" s="38" t="s">
        <v>9073</v>
      </c>
      <c r="G1319" s="34" t="s">
        <v>9550</v>
      </c>
      <c r="I1319" s="35" t="s">
        <v>12098</v>
      </c>
      <c r="J1319" s="36" t="s">
        <v>996</v>
      </c>
    </row>
    <row r="1320" spans="1:10" x14ac:dyDescent="0.25">
      <c r="A1320" s="31" t="s">
        <v>997</v>
      </c>
      <c r="B1320" s="31">
        <v>36.010599999999997</v>
      </c>
      <c r="C1320" s="32" t="s">
        <v>12107</v>
      </c>
      <c r="D1320" s="31" t="s">
        <v>12097</v>
      </c>
      <c r="E1320" s="40" t="s">
        <v>12108</v>
      </c>
      <c r="F1320" s="38" t="s">
        <v>9073</v>
      </c>
      <c r="G1320" s="34" t="s">
        <v>9550</v>
      </c>
      <c r="I1320" s="35" t="s">
        <v>12098</v>
      </c>
      <c r="J1320" s="36" t="s">
        <v>997</v>
      </c>
    </row>
    <row r="1321" spans="1:10" x14ac:dyDescent="0.25">
      <c r="A1321" s="31" t="s">
        <v>998</v>
      </c>
      <c r="B1321" s="31">
        <v>36.0107</v>
      </c>
      <c r="C1321" s="32" t="s">
        <v>12109</v>
      </c>
      <c r="D1321" s="31" t="s">
        <v>12097</v>
      </c>
      <c r="E1321" s="40" t="s">
        <v>12110</v>
      </c>
      <c r="F1321" s="38" t="s">
        <v>9073</v>
      </c>
      <c r="G1321" s="34" t="s">
        <v>9550</v>
      </c>
      <c r="I1321" s="35" t="s">
        <v>12098</v>
      </c>
      <c r="J1321" s="36" t="s">
        <v>998</v>
      </c>
    </row>
    <row r="1322" spans="1:10" x14ac:dyDescent="0.25">
      <c r="A1322" s="31" t="s">
        <v>999</v>
      </c>
      <c r="B1322" s="31">
        <v>36.010800000000003</v>
      </c>
      <c r="C1322" s="32" t="s">
        <v>12111</v>
      </c>
      <c r="D1322" s="31" t="s">
        <v>12097</v>
      </c>
      <c r="E1322" s="40" t="s">
        <v>12112</v>
      </c>
      <c r="F1322" s="38" t="s">
        <v>9073</v>
      </c>
      <c r="G1322" s="34" t="s">
        <v>9550</v>
      </c>
      <c r="I1322" s="35" t="s">
        <v>12098</v>
      </c>
      <c r="J1322" s="36" t="s">
        <v>999</v>
      </c>
    </row>
    <row r="1323" spans="1:10" x14ac:dyDescent="0.25">
      <c r="A1323" s="31" t="s">
        <v>1000</v>
      </c>
      <c r="B1323" s="31">
        <v>36.010899999999999</v>
      </c>
      <c r="C1323" s="32" t="s">
        <v>12113</v>
      </c>
      <c r="D1323" s="31" t="s">
        <v>12097</v>
      </c>
      <c r="E1323" s="40" t="s">
        <v>12114</v>
      </c>
      <c r="F1323" s="38" t="s">
        <v>9073</v>
      </c>
      <c r="G1323" s="34" t="s">
        <v>9550</v>
      </c>
      <c r="I1323" s="35" t="s">
        <v>12098</v>
      </c>
      <c r="J1323" s="36" t="s">
        <v>1000</v>
      </c>
    </row>
    <row r="1324" spans="1:10" x14ac:dyDescent="0.25">
      <c r="A1324" s="31" t="s">
        <v>1001</v>
      </c>
      <c r="B1324" s="31">
        <v>36.011000000000003</v>
      </c>
      <c r="C1324" s="32" t="s">
        <v>12115</v>
      </c>
      <c r="D1324" s="31" t="s">
        <v>12097</v>
      </c>
      <c r="E1324" s="40" t="s">
        <v>12116</v>
      </c>
      <c r="F1324" s="38" t="s">
        <v>9073</v>
      </c>
      <c r="G1324" s="34" t="s">
        <v>9550</v>
      </c>
      <c r="I1324" s="35" t="s">
        <v>12098</v>
      </c>
      <c r="J1324" s="36" t="s">
        <v>1001</v>
      </c>
    </row>
    <row r="1325" spans="1:10" x14ac:dyDescent="0.25">
      <c r="A1325" s="31" t="s">
        <v>1002</v>
      </c>
      <c r="B1325" s="31">
        <v>36.011099999999999</v>
      </c>
      <c r="C1325" s="32" t="s">
        <v>12117</v>
      </c>
      <c r="D1325" s="31" t="s">
        <v>12097</v>
      </c>
      <c r="E1325" s="40" t="s">
        <v>12118</v>
      </c>
      <c r="F1325" s="38" t="s">
        <v>9073</v>
      </c>
      <c r="G1325" s="34" t="s">
        <v>9550</v>
      </c>
      <c r="I1325" s="35" t="s">
        <v>12098</v>
      </c>
      <c r="J1325" s="36" t="s">
        <v>1002</v>
      </c>
    </row>
    <row r="1326" spans="1:10" x14ac:dyDescent="0.25">
      <c r="A1326" s="31" t="s">
        <v>1003</v>
      </c>
      <c r="B1326" s="31">
        <v>36.011200000000002</v>
      </c>
      <c r="C1326" s="32" t="s">
        <v>12119</v>
      </c>
      <c r="D1326" s="31" t="s">
        <v>12097</v>
      </c>
      <c r="E1326" s="40" t="s">
        <v>12120</v>
      </c>
      <c r="F1326" s="38" t="s">
        <v>9073</v>
      </c>
      <c r="G1326" s="34" t="s">
        <v>9550</v>
      </c>
      <c r="I1326" s="35" t="s">
        <v>12098</v>
      </c>
      <c r="J1326" s="36" t="s">
        <v>1003</v>
      </c>
    </row>
    <row r="1327" spans="1:10" x14ac:dyDescent="0.25">
      <c r="A1327" s="31" t="s">
        <v>1004</v>
      </c>
      <c r="B1327" s="31">
        <v>36.011299999999999</v>
      </c>
      <c r="C1327" s="32" t="s">
        <v>12121</v>
      </c>
      <c r="D1327" s="31" t="s">
        <v>12097</v>
      </c>
      <c r="E1327" s="40" t="s">
        <v>12122</v>
      </c>
      <c r="F1327" s="38" t="s">
        <v>9073</v>
      </c>
      <c r="G1327" s="34" t="s">
        <v>9550</v>
      </c>
      <c r="I1327" s="35" t="s">
        <v>12098</v>
      </c>
      <c r="J1327" s="36" t="s">
        <v>1004</v>
      </c>
    </row>
    <row r="1328" spans="1:10" x14ac:dyDescent="0.25">
      <c r="A1328" s="31" t="s">
        <v>1005</v>
      </c>
      <c r="B1328" s="31">
        <v>36.011400000000002</v>
      </c>
      <c r="C1328" s="32" t="s">
        <v>12123</v>
      </c>
      <c r="D1328" s="31" t="s">
        <v>12097</v>
      </c>
      <c r="E1328" s="40" t="s">
        <v>12124</v>
      </c>
      <c r="F1328" s="38" t="s">
        <v>9073</v>
      </c>
      <c r="G1328" s="34" t="s">
        <v>9550</v>
      </c>
      <c r="I1328" s="35" t="s">
        <v>12098</v>
      </c>
      <c r="J1328" s="36" t="s">
        <v>1005</v>
      </c>
    </row>
    <row r="1329" spans="1:10" x14ac:dyDescent="0.25">
      <c r="A1329" s="31" t="s">
        <v>1006</v>
      </c>
      <c r="B1329" s="31">
        <v>36.011499999999998</v>
      </c>
      <c r="C1329" s="32" t="s">
        <v>12125</v>
      </c>
      <c r="D1329" s="31" t="s">
        <v>12097</v>
      </c>
      <c r="E1329" s="40" t="s">
        <v>12126</v>
      </c>
      <c r="F1329" s="38" t="s">
        <v>9073</v>
      </c>
      <c r="G1329" s="34" t="s">
        <v>9550</v>
      </c>
      <c r="I1329" s="35" t="s">
        <v>12098</v>
      </c>
      <c r="J1329" s="36" t="s">
        <v>1006</v>
      </c>
    </row>
    <row r="1330" spans="1:10" x14ac:dyDescent="0.25">
      <c r="A1330" s="31" t="s">
        <v>1007</v>
      </c>
      <c r="B1330" s="31">
        <v>36.011600000000001</v>
      </c>
      <c r="C1330" s="32" t="s">
        <v>12127</v>
      </c>
      <c r="D1330" s="31" t="s">
        <v>12097</v>
      </c>
      <c r="E1330" s="40" t="s">
        <v>12128</v>
      </c>
      <c r="F1330" s="38" t="s">
        <v>9073</v>
      </c>
      <c r="G1330" s="34" t="s">
        <v>9550</v>
      </c>
      <c r="I1330" s="35" t="s">
        <v>12098</v>
      </c>
      <c r="J1330" s="36" t="s">
        <v>1007</v>
      </c>
    </row>
    <row r="1331" spans="1:10" x14ac:dyDescent="0.25">
      <c r="A1331" s="31" t="s">
        <v>1008</v>
      </c>
      <c r="B1331" s="31">
        <v>36.011699999999998</v>
      </c>
      <c r="C1331" s="32" t="s">
        <v>12129</v>
      </c>
      <c r="D1331" s="31" t="s">
        <v>12097</v>
      </c>
      <c r="E1331" s="40" t="s">
        <v>12130</v>
      </c>
      <c r="F1331" s="38" t="s">
        <v>9073</v>
      </c>
      <c r="G1331" s="34" t="s">
        <v>9550</v>
      </c>
      <c r="I1331" s="35" t="s">
        <v>12098</v>
      </c>
      <c r="J1331" s="36" t="s">
        <v>1008</v>
      </c>
    </row>
    <row r="1332" spans="1:10" x14ac:dyDescent="0.25">
      <c r="A1332" s="31" t="s">
        <v>1009</v>
      </c>
      <c r="B1332" s="31">
        <v>36.011800000000001</v>
      </c>
      <c r="C1332" s="32" t="s">
        <v>12131</v>
      </c>
      <c r="D1332" s="31" t="s">
        <v>12097</v>
      </c>
      <c r="E1332" s="40" t="s">
        <v>12132</v>
      </c>
      <c r="F1332" s="38" t="s">
        <v>9073</v>
      </c>
      <c r="G1332" s="34" t="s">
        <v>9550</v>
      </c>
      <c r="I1332" s="35" t="s">
        <v>12098</v>
      </c>
      <c r="J1332" s="36" t="s">
        <v>1009</v>
      </c>
    </row>
    <row r="1333" spans="1:10" x14ac:dyDescent="0.25">
      <c r="A1333" s="31" t="s">
        <v>1010</v>
      </c>
      <c r="B1333" s="31">
        <v>36.011899999999997</v>
      </c>
      <c r="C1333" s="32" t="s">
        <v>12133</v>
      </c>
      <c r="D1333" s="31" t="s">
        <v>12097</v>
      </c>
      <c r="E1333" s="40" t="s">
        <v>12134</v>
      </c>
      <c r="F1333" s="38" t="s">
        <v>9073</v>
      </c>
      <c r="G1333" s="34" t="s">
        <v>9550</v>
      </c>
      <c r="I1333" s="35" t="s">
        <v>12098</v>
      </c>
      <c r="J1333" s="36" t="s">
        <v>1010</v>
      </c>
    </row>
    <row r="1334" spans="1:10" x14ac:dyDescent="0.25">
      <c r="A1334" s="31" t="s">
        <v>2019</v>
      </c>
      <c r="B1334" s="31">
        <v>36.012</v>
      </c>
      <c r="C1334" s="32" t="s">
        <v>12135</v>
      </c>
      <c r="D1334" s="31" t="s">
        <v>12097</v>
      </c>
      <c r="E1334" s="40" t="s">
        <v>12136</v>
      </c>
      <c r="F1334" s="38" t="s">
        <v>9073</v>
      </c>
      <c r="G1334" s="34" t="s">
        <v>9550</v>
      </c>
      <c r="I1334" s="35" t="s">
        <v>12098</v>
      </c>
      <c r="J1334" s="36" t="s">
        <v>2019</v>
      </c>
    </row>
    <row r="1335" spans="1:10" x14ac:dyDescent="0.25">
      <c r="A1335" s="31" t="s">
        <v>2020</v>
      </c>
      <c r="B1335" s="31">
        <v>36.012099999999997</v>
      </c>
      <c r="C1335" s="32" t="s">
        <v>12137</v>
      </c>
      <c r="D1335" s="31" t="s">
        <v>12097</v>
      </c>
      <c r="E1335" s="40" t="s">
        <v>12138</v>
      </c>
      <c r="F1335" s="38" t="s">
        <v>9073</v>
      </c>
      <c r="G1335" s="34" t="s">
        <v>9550</v>
      </c>
      <c r="I1335" s="35" t="s">
        <v>12098</v>
      </c>
      <c r="J1335" s="36" t="s">
        <v>2020</v>
      </c>
    </row>
    <row r="1336" spans="1:10" x14ac:dyDescent="0.25">
      <c r="A1336" s="31" t="s">
        <v>2021</v>
      </c>
      <c r="B1336" s="31">
        <v>36.0122</v>
      </c>
      <c r="C1336" s="32" t="s">
        <v>12139</v>
      </c>
      <c r="D1336" s="31" t="s">
        <v>12097</v>
      </c>
      <c r="E1336" s="40" t="s">
        <v>12140</v>
      </c>
      <c r="F1336" s="38" t="s">
        <v>9073</v>
      </c>
      <c r="G1336" s="34" t="s">
        <v>9550</v>
      </c>
      <c r="I1336" s="35" t="s">
        <v>12098</v>
      </c>
      <c r="J1336" s="36" t="s">
        <v>2021</v>
      </c>
    </row>
    <row r="1337" spans="1:10" x14ac:dyDescent="0.25">
      <c r="A1337" s="31" t="s">
        <v>2022</v>
      </c>
      <c r="B1337" s="31">
        <v>36.012300000000003</v>
      </c>
      <c r="C1337" s="32" t="s">
        <v>12141</v>
      </c>
      <c r="D1337" s="31" t="s">
        <v>12097</v>
      </c>
      <c r="E1337" s="40" t="s">
        <v>12142</v>
      </c>
      <c r="F1337" s="38" t="s">
        <v>9073</v>
      </c>
      <c r="G1337" s="34" t="s">
        <v>9550</v>
      </c>
      <c r="I1337" s="35" t="s">
        <v>12098</v>
      </c>
      <c r="J1337" s="36" t="s">
        <v>2022</v>
      </c>
    </row>
    <row r="1338" spans="1:10" x14ac:dyDescent="0.25">
      <c r="A1338" s="31" t="s">
        <v>1011</v>
      </c>
      <c r="B1338" s="31">
        <v>36.0199</v>
      </c>
      <c r="C1338" s="32" t="s">
        <v>12143</v>
      </c>
      <c r="D1338" s="31" t="s">
        <v>12097</v>
      </c>
      <c r="E1338" s="40" t="s">
        <v>12144</v>
      </c>
      <c r="F1338" s="38" t="s">
        <v>9073</v>
      </c>
      <c r="G1338" s="34" t="s">
        <v>9550</v>
      </c>
      <c r="I1338" s="35" t="s">
        <v>12098</v>
      </c>
      <c r="J1338" s="36" t="s">
        <v>1011</v>
      </c>
    </row>
    <row r="1339" spans="1:10" x14ac:dyDescent="0.25">
      <c r="A1339" s="31" t="s">
        <v>2023</v>
      </c>
      <c r="B1339" s="31">
        <v>36.020000000000003</v>
      </c>
      <c r="C1339" s="32" t="s">
        <v>12145</v>
      </c>
      <c r="D1339" s="31" t="s">
        <v>12097</v>
      </c>
      <c r="E1339" s="40" t="s">
        <v>9551</v>
      </c>
      <c r="F1339" s="38" t="s">
        <v>9073</v>
      </c>
      <c r="G1339" s="34" t="s">
        <v>9551</v>
      </c>
      <c r="H1339" s="34" t="s">
        <v>9551</v>
      </c>
      <c r="I1339" s="35" t="s">
        <v>12145</v>
      </c>
      <c r="J1339" s="36" t="s">
        <v>2023</v>
      </c>
    </row>
    <row r="1340" spans="1:10" x14ac:dyDescent="0.25">
      <c r="A1340" s="31" t="s">
        <v>1010</v>
      </c>
      <c r="B1340" s="31">
        <v>36.020200000000003</v>
      </c>
      <c r="C1340" s="32" t="s">
        <v>12146</v>
      </c>
      <c r="D1340" s="31" t="s">
        <v>12097</v>
      </c>
      <c r="E1340" s="40" t="s">
        <v>12147</v>
      </c>
      <c r="F1340" s="38" t="s">
        <v>9073</v>
      </c>
      <c r="G1340" s="34" t="s">
        <v>9551</v>
      </c>
      <c r="I1340" s="35" t="s">
        <v>12145</v>
      </c>
      <c r="J1340" s="36" t="s">
        <v>1010</v>
      </c>
    </row>
    <row r="1341" spans="1:10" x14ac:dyDescent="0.25">
      <c r="A1341" s="31" t="s">
        <v>2024</v>
      </c>
      <c r="B1341" s="31">
        <v>36.020299999999999</v>
      </c>
      <c r="C1341" s="32" t="s">
        <v>12148</v>
      </c>
      <c r="D1341" s="31" t="s">
        <v>12097</v>
      </c>
      <c r="E1341" s="40" t="s">
        <v>12149</v>
      </c>
      <c r="F1341" s="38" t="s">
        <v>9073</v>
      </c>
      <c r="G1341" s="34" t="s">
        <v>9551</v>
      </c>
      <c r="I1341" s="35" t="s">
        <v>12145</v>
      </c>
      <c r="J1341" s="36" t="s">
        <v>2024</v>
      </c>
    </row>
    <row r="1342" spans="1:10" x14ac:dyDescent="0.25">
      <c r="A1342" s="31" t="s">
        <v>2025</v>
      </c>
      <c r="B1342" s="31">
        <v>36.020400000000002</v>
      </c>
      <c r="C1342" s="32" t="s">
        <v>12150</v>
      </c>
      <c r="D1342" s="31" t="s">
        <v>12097</v>
      </c>
      <c r="E1342" s="40" t="s">
        <v>12151</v>
      </c>
      <c r="F1342" s="38" t="s">
        <v>9073</v>
      </c>
      <c r="G1342" s="34" t="s">
        <v>9551</v>
      </c>
      <c r="I1342" s="35" t="s">
        <v>12145</v>
      </c>
      <c r="J1342" s="36" t="s">
        <v>2025</v>
      </c>
    </row>
    <row r="1343" spans="1:10" x14ac:dyDescent="0.25">
      <c r="A1343" s="31" t="s">
        <v>2026</v>
      </c>
      <c r="B1343" s="31">
        <v>36.020499999999998</v>
      </c>
      <c r="C1343" s="32" t="s">
        <v>12152</v>
      </c>
      <c r="D1343" s="31" t="s">
        <v>12097</v>
      </c>
      <c r="E1343" s="40" t="s">
        <v>12153</v>
      </c>
      <c r="F1343" s="38" t="s">
        <v>9073</v>
      </c>
      <c r="G1343" s="34" t="s">
        <v>9551</v>
      </c>
      <c r="I1343" s="35" t="s">
        <v>12145</v>
      </c>
      <c r="J1343" s="36" t="s">
        <v>2026</v>
      </c>
    </row>
    <row r="1344" spans="1:10" x14ac:dyDescent="0.25">
      <c r="A1344" s="31" t="s">
        <v>2027</v>
      </c>
      <c r="B1344" s="31">
        <v>36.020600000000002</v>
      </c>
      <c r="C1344" s="32" t="s">
        <v>12154</v>
      </c>
      <c r="D1344" s="31" t="s">
        <v>12097</v>
      </c>
      <c r="E1344" s="40" t="s">
        <v>12155</v>
      </c>
      <c r="F1344" s="38" t="s">
        <v>9073</v>
      </c>
      <c r="G1344" s="34" t="s">
        <v>9551</v>
      </c>
      <c r="I1344" s="35" t="s">
        <v>12145</v>
      </c>
      <c r="J1344" s="36" t="s">
        <v>2027</v>
      </c>
    </row>
    <row r="1345" spans="1:10" x14ac:dyDescent="0.25">
      <c r="A1345" s="31" t="s">
        <v>2028</v>
      </c>
      <c r="B1345" s="31">
        <v>36.020699999999998</v>
      </c>
      <c r="C1345" s="32" t="s">
        <v>12156</v>
      </c>
      <c r="D1345" s="31" t="s">
        <v>12097</v>
      </c>
      <c r="E1345" s="40" t="s">
        <v>12157</v>
      </c>
      <c r="F1345" s="38" t="s">
        <v>9073</v>
      </c>
      <c r="G1345" s="34" t="s">
        <v>9551</v>
      </c>
      <c r="I1345" s="35" t="s">
        <v>12145</v>
      </c>
      <c r="J1345" s="36" t="s">
        <v>2028</v>
      </c>
    </row>
    <row r="1346" spans="1:10" x14ac:dyDescent="0.25">
      <c r="A1346" s="31" t="s">
        <v>2029</v>
      </c>
      <c r="B1346" s="31">
        <v>36.029899999999998</v>
      </c>
      <c r="C1346" s="32" t="s">
        <v>12158</v>
      </c>
      <c r="D1346" s="31" t="s">
        <v>12097</v>
      </c>
      <c r="E1346" s="40" t="s">
        <v>12159</v>
      </c>
      <c r="F1346" s="38" t="s">
        <v>9073</v>
      </c>
      <c r="G1346" s="34" t="s">
        <v>9551</v>
      </c>
      <c r="I1346" s="35" t="s">
        <v>12145</v>
      </c>
      <c r="J1346" s="36" t="s">
        <v>2029</v>
      </c>
    </row>
    <row r="1347" spans="1:10" x14ac:dyDescent="0.25">
      <c r="A1347" s="31" t="s">
        <v>1012</v>
      </c>
      <c r="B1347" s="31">
        <v>37</v>
      </c>
      <c r="C1347" s="32" t="s">
        <v>12160</v>
      </c>
      <c r="D1347" s="31" t="s">
        <v>12160</v>
      </c>
      <c r="E1347" s="40" t="s">
        <v>9553</v>
      </c>
      <c r="F1347" s="41" t="s">
        <v>9552</v>
      </c>
      <c r="G1347" s="34" t="s">
        <v>9553</v>
      </c>
      <c r="H1347" s="34" t="s">
        <v>9553</v>
      </c>
      <c r="I1347" s="35" t="s">
        <v>12160</v>
      </c>
      <c r="J1347" s="36" t="s">
        <v>1012</v>
      </c>
    </row>
    <row r="1348" spans="1:10" x14ac:dyDescent="0.25">
      <c r="A1348" s="31" t="s">
        <v>1013</v>
      </c>
      <c r="B1348" s="31">
        <v>37.01</v>
      </c>
      <c r="C1348" s="32" t="s">
        <v>12161</v>
      </c>
      <c r="D1348" s="31" t="s">
        <v>12160</v>
      </c>
      <c r="E1348" s="40" t="s">
        <v>9554</v>
      </c>
      <c r="F1348" s="41" t="s">
        <v>9552</v>
      </c>
      <c r="G1348" s="34" t="s">
        <v>9554</v>
      </c>
      <c r="H1348" s="34" t="s">
        <v>9554</v>
      </c>
      <c r="I1348" s="35" t="s">
        <v>12161</v>
      </c>
      <c r="J1348" s="36" t="s">
        <v>1013</v>
      </c>
    </row>
    <row r="1349" spans="1:10" x14ac:dyDescent="0.25">
      <c r="A1349" s="31" t="s">
        <v>1014</v>
      </c>
      <c r="B1349" s="31">
        <v>37.010100000000001</v>
      </c>
      <c r="C1349" s="32" t="s">
        <v>12162</v>
      </c>
      <c r="D1349" s="31" t="s">
        <v>12160</v>
      </c>
      <c r="E1349" s="40" t="s">
        <v>12163</v>
      </c>
      <c r="F1349" s="41" t="s">
        <v>9552</v>
      </c>
      <c r="G1349" s="34" t="s">
        <v>9554</v>
      </c>
      <c r="I1349" s="35" t="s">
        <v>12161</v>
      </c>
      <c r="J1349" s="36" t="s">
        <v>1014</v>
      </c>
    </row>
    <row r="1350" spans="1:10" x14ac:dyDescent="0.25">
      <c r="A1350" s="31" t="s">
        <v>1015</v>
      </c>
      <c r="B1350" s="31">
        <v>37.010199999999998</v>
      </c>
      <c r="C1350" s="32" t="s">
        <v>12164</v>
      </c>
      <c r="D1350" s="31" t="s">
        <v>12160</v>
      </c>
      <c r="E1350" s="40" t="s">
        <v>12165</v>
      </c>
      <c r="F1350" s="41" t="s">
        <v>9552</v>
      </c>
      <c r="G1350" s="34" t="s">
        <v>9554</v>
      </c>
      <c r="I1350" s="35" t="s">
        <v>12161</v>
      </c>
      <c r="J1350" s="36" t="s">
        <v>1015</v>
      </c>
    </row>
    <row r="1351" spans="1:10" x14ac:dyDescent="0.25">
      <c r="A1351" s="31" t="s">
        <v>1016</v>
      </c>
      <c r="B1351" s="31">
        <v>37.010300000000001</v>
      </c>
      <c r="C1351" s="32" t="s">
        <v>12166</v>
      </c>
      <c r="D1351" s="31" t="s">
        <v>12160</v>
      </c>
      <c r="E1351" s="40" t="s">
        <v>12167</v>
      </c>
      <c r="F1351" s="41" t="s">
        <v>9552</v>
      </c>
      <c r="G1351" s="34" t="s">
        <v>9554</v>
      </c>
      <c r="I1351" s="35" t="s">
        <v>12161</v>
      </c>
      <c r="J1351" s="36" t="s">
        <v>1016</v>
      </c>
    </row>
    <row r="1352" spans="1:10" x14ac:dyDescent="0.25">
      <c r="A1352" s="31" t="s">
        <v>1017</v>
      </c>
      <c r="B1352" s="31">
        <v>37.010399999999997</v>
      </c>
      <c r="C1352" s="32" t="s">
        <v>12168</v>
      </c>
      <c r="D1352" s="31" t="s">
        <v>12160</v>
      </c>
      <c r="E1352" s="40" t="s">
        <v>12169</v>
      </c>
      <c r="F1352" s="41" t="s">
        <v>9552</v>
      </c>
      <c r="G1352" s="34" t="s">
        <v>9554</v>
      </c>
      <c r="I1352" s="35" t="s">
        <v>12161</v>
      </c>
      <c r="J1352" s="36" t="s">
        <v>1017</v>
      </c>
    </row>
    <row r="1353" spans="1:10" x14ac:dyDescent="0.25">
      <c r="A1353" s="31" t="s">
        <v>2030</v>
      </c>
      <c r="B1353" s="31">
        <v>37.010599999999997</v>
      </c>
      <c r="C1353" s="32" t="s">
        <v>12170</v>
      </c>
      <c r="D1353" s="31" t="s">
        <v>12160</v>
      </c>
      <c r="E1353" s="40" t="s">
        <v>12171</v>
      </c>
      <c r="F1353" s="41" t="s">
        <v>9552</v>
      </c>
      <c r="G1353" s="34" t="s">
        <v>9554</v>
      </c>
      <c r="I1353" s="35" t="s">
        <v>12161</v>
      </c>
      <c r="J1353" s="36" t="s">
        <v>2030</v>
      </c>
    </row>
    <row r="1354" spans="1:10" x14ac:dyDescent="0.25">
      <c r="A1354" s="31" t="s">
        <v>2031</v>
      </c>
      <c r="B1354" s="31">
        <v>37.0107</v>
      </c>
      <c r="C1354" s="32" t="s">
        <v>12172</v>
      </c>
      <c r="D1354" s="31" t="s">
        <v>12160</v>
      </c>
      <c r="E1354" s="40" t="s">
        <v>12173</v>
      </c>
      <c r="F1354" s="41" t="s">
        <v>9552</v>
      </c>
      <c r="G1354" s="34" t="s">
        <v>9554</v>
      </c>
      <c r="I1354" s="35" t="s">
        <v>12161</v>
      </c>
      <c r="J1354" s="36" t="s">
        <v>2031</v>
      </c>
    </row>
    <row r="1355" spans="1:10" x14ac:dyDescent="0.25">
      <c r="A1355" s="31" t="s">
        <v>1018</v>
      </c>
      <c r="B1355" s="31">
        <v>37.0199</v>
      </c>
      <c r="C1355" s="32" t="s">
        <v>12174</v>
      </c>
      <c r="D1355" s="31" t="s">
        <v>12160</v>
      </c>
      <c r="E1355" s="40" t="s">
        <v>12175</v>
      </c>
      <c r="F1355" s="41" t="s">
        <v>9552</v>
      </c>
      <c r="G1355" s="34" t="s">
        <v>9554</v>
      </c>
      <c r="I1355" s="35" t="s">
        <v>12161</v>
      </c>
      <c r="J1355" s="36" t="s">
        <v>1018</v>
      </c>
    </row>
    <row r="1356" spans="1:10" x14ac:dyDescent="0.25">
      <c r="A1356" s="31" t="s">
        <v>1020</v>
      </c>
      <c r="B1356" s="31">
        <v>38</v>
      </c>
      <c r="C1356" s="32" t="s">
        <v>12176</v>
      </c>
      <c r="D1356" s="31" t="s">
        <v>12177</v>
      </c>
      <c r="E1356" s="40" t="s">
        <v>9555</v>
      </c>
      <c r="F1356" s="38" t="s">
        <v>9076</v>
      </c>
      <c r="G1356" s="34" t="s">
        <v>9555</v>
      </c>
      <c r="H1356" s="34" t="s">
        <v>9555</v>
      </c>
      <c r="I1356" s="44" t="s">
        <v>12176</v>
      </c>
      <c r="J1356" s="36" t="s">
        <v>1020</v>
      </c>
    </row>
    <row r="1357" spans="1:10" x14ac:dyDescent="0.25">
      <c r="A1357" s="31" t="s">
        <v>1019</v>
      </c>
      <c r="B1357" s="31">
        <v>38</v>
      </c>
      <c r="C1357" s="32" t="s">
        <v>12177</v>
      </c>
      <c r="D1357" s="31" t="s">
        <v>12177</v>
      </c>
      <c r="E1357" s="40" t="s">
        <v>9556</v>
      </c>
      <c r="F1357" s="38" t="s">
        <v>9076</v>
      </c>
      <c r="G1357" s="34" t="s">
        <v>9556</v>
      </c>
      <c r="H1357" s="34" t="s">
        <v>9556</v>
      </c>
      <c r="I1357" s="45" t="s">
        <v>12177</v>
      </c>
      <c r="J1357" s="36" t="s">
        <v>1019</v>
      </c>
    </row>
    <row r="1358" spans="1:10" x14ac:dyDescent="0.25">
      <c r="A1358" s="31" t="s">
        <v>1020</v>
      </c>
      <c r="B1358" s="31">
        <v>38.000100000000003</v>
      </c>
      <c r="C1358" s="32" t="s">
        <v>12178</v>
      </c>
      <c r="D1358" s="31" t="s">
        <v>12177</v>
      </c>
      <c r="E1358" s="40" t="s">
        <v>12179</v>
      </c>
      <c r="F1358" s="38" t="s">
        <v>9076</v>
      </c>
      <c r="G1358" s="34" t="s">
        <v>9555</v>
      </c>
      <c r="I1358" s="44" t="s">
        <v>12176</v>
      </c>
      <c r="J1358" s="36" t="s">
        <v>1020</v>
      </c>
    </row>
    <row r="1359" spans="1:10" x14ac:dyDescent="0.25">
      <c r="A1359" s="31" t="s">
        <v>1021</v>
      </c>
      <c r="B1359" s="31">
        <v>38.01</v>
      </c>
      <c r="C1359" s="32" t="s">
        <v>12180</v>
      </c>
      <c r="D1359" s="31" t="s">
        <v>12177</v>
      </c>
      <c r="E1359" s="40" t="s">
        <v>9557</v>
      </c>
      <c r="F1359" s="38" t="s">
        <v>9076</v>
      </c>
      <c r="G1359" s="34" t="s">
        <v>9557</v>
      </c>
      <c r="H1359" s="34" t="s">
        <v>9557</v>
      </c>
      <c r="I1359" s="44" t="s">
        <v>12180</v>
      </c>
      <c r="J1359" s="36" t="s">
        <v>1021</v>
      </c>
    </row>
    <row r="1360" spans="1:10" x14ac:dyDescent="0.25">
      <c r="A1360" s="31" t="s">
        <v>1021</v>
      </c>
      <c r="B1360" s="31">
        <v>38.010100000000001</v>
      </c>
      <c r="C1360" s="32" t="s">
        <v>12181</v>
      </c>
      <c r="D1360" s="31" t="s">
        <v>12177</v>
      </c>
      <c r="E1360" s="40" t="s">
        <v>12182</v>
      </c>
      <c r="F1360" s="38" t="s">
        <v>9076</v>
      </c>
      <c r="G1360" s="34" t="s">
        <v>9557</v>
      </c>
      <c r="I1360" s="44" t="s">
        <v>12180</v>
      </c>
      <c r="J1360" s="36" t="s">
        <v>1021</v>
      </c>
    </row>
    <row r="1361" spans="1:10" x14ac:dyDescent="0.25">
      <c r="A1361" s="31" t="s">
        <v>1022</v>
      </c>
      <c r="B1361" s="31">
        <v>38.010199999999998</v>
      </c>
      <c r="C1361" s="32" t="s">
        <v>12183</v>
      </c>
      <c r="D1361" s="31" t="s">
        <v>12177</v>
      </c>
      <c r="E1361" s="40" t="s">
        <v>12184</v>
      </c>
      <c r="F1361" s="38" t="s">
        <v>9076</v>
      </c>
      <c r="G1361" s="34" t="s">
        <v>9557</v>
      </c>
      <c r="I1361" s="44" t="s">
        <v>12180</v>
      </c>
      <c r="J1361" s="36" t="s">
        <v>1022</v>
      </c>
    </row>
    <row r="1362" spans="1:10" x14ac:dyDescent="0.25">
      <c r="A1362" s="31" t="s">
        <v>1023</v>
      </c>
      <c r="B1362" s="31">
        <v>38.010300000000001</v>
      </c>
      <c r="C1362" s="32" t="s">
        <v>12185</v>
      </c>
      <c r="D1362" s="31" t="s">
        <v>12177</v>
      </c>
      <c r="E1362" s="40" t="s">
        <v>12186</v>
      </c>
      <c r="F1362" s="38" t="s">
        <v>9076</v>
      </c>
      <c r="G1362" s="34" t="s">
        <v>9557</v>
      </c>
      <c r="I1362" s="44" t="s">
        <v>12180</v>
      </c>
      <c r="J1362" s="36" t="s">
        <v>1023</v>
      </c>
    </row>
    <row r="1363" spans="1:10" x14ac:dyDescent="0.25">
      <c r="A1363" s="31" t="s">
        <v>1024</v>
      </c>
      <c r="B1363" s="31">
        <v>38.010399999999997</v>
      </c>
      <c r="C1363" s="32" t="s">
        <v>12187</v>
      </c>
      <c r="D1363" s="31" t="s">
        <v>12177</v>
      </c>
      <c r="E1363" s="40" t="s">
        <v>12188</v>
      </c>
      <c r="F1363" s="38" t="s">
        <v>9076</v>
      </c>
      <c r="G1363" s="34" t="s">
        <v>9557</v>
      </c>
      <c r="I1363" s="44" t="s">
        <v>12180</v>
      </c>
      <c r="J1363" s="36" t="s">
        <v>1024</v>
      </c>
    </row>
    <row r="1364" spans="1:10" x14ac:dyDescent="0.25">
      <c r="A1364" s="31" t="s">
        <v>1025</v>
      </c>
      <c r="B1364" s="31">
        <v>38.0199</v>
      </c>
      <c r="C1364" s="32" t="s">
        <v>12189</v>
      </c>
      <c r="D1364" s="31" t="s">
        <v>12177</v>
      </c>
      <c r="E1364" s="40" t="s">
        <v>12190</v>
      </c>
      <c r="F1364" s="38" t="s">
        <v>9076</v>
      </c>
      <c r="G1364" s="34" t="s">
        <v>9557</v>
      </c>
      <c r="I1364" s="44" t="s">
        <v>12180</v>
      </c>
      <c r="J1364" s="36" t="s">
        <v>1025</v>
      </c>
    </row>
    <row r="1365" spans="1:10" x14ac:dyDescent="0.25">
      <c r="A1365" s="31" t="s">
        <v>1026</v>
      </c>
      <c r="B1365" s="31">
        <v>38.020000000000003</v>
      </c>
      <c r="C1365" s="32" t="s">
        <v>12191</v>
      </c>
      <c r="D1365" s="31" t="s">
        <v>12177</v>
      </c>
      <c r="E1365" s="40" t="s">
        <v>9558</v>
      </c>
      <c r="F1365" s="38" t="s">
        <v>9076</v>
      </c>
      <c r="G1365" s="34" t="s">
        <v>9558</v>
      </c>
      <c r="H1365" s="34" t="s">
        <v>9558</v>
      </c>
      <c r="I1365" s="44" t="s">
        <v>12191</v>
      </c>
      <c r="J1365" s="36" t="s">
        <v>1026</v>
      </c>
    </row>
    <row r="1366" spans="1:10" x14ac:dyDescent="0.25">
      <c r="A1366" s="31" t="s">
        <v>1026</v>
      </c>
      <c r="B1366" s="31">
        <v>38.020099999999999</v>
      </c>
      <c r="C1366" s="32" t="s">
        <v>12192</v>
      </c>
      <c r="D1366" s="31" t="s">
        <v>12177</v>
      </c>
      <c r="E1366" s="40" t="s">
        <v>12193</v>
      </c>
      <c r="F1366" s="38" t="s">
        <v>9076</v>
      </c>
      <c r="G1366" s="34" t="s">
        <v>9558</v>
      </c>
      <c r="I1366" s="44" t="s">
        <v>12191</v>
      </c>
      <c r="J1366" s="36" t="s">
        <v>1026</v>
      </c>
    </row>
    <row r="1367" spans="1:10" x14ac:dyDescent="0.25">
      <c r="A1367" s="31" t="s">
        <v>1027</v>
      </c>
      <c r="B1367" s="31">
        <v>38.020200000000003</v>
      </c>
      <c r="C1367" s="32" t="s">
        <v>12194</v>
      </c>
      <c r="D1367" s="31" t="s">
        <v>12177</v>
      </c>
      <c r="E1367" s="40" t="s">
        <v>12195</v>
      </c>
      <c r="F1367" s="38" t="s">
        <v>9076</v>
      </c>
      <c r="G1367" s="34" t="s">
        <v>9558</v>
      </c>
      <c r="I1367" s="44" t="s">
        <v>12191</v>
      </c>
      <c r="J1367" s="36" t="s">
        <v>1027</v>
      </c>
    </row>
    <row r="1368" spans="1:10" x14ac:dyDescent="0.25">
      <c r="A1368" s="31" t="s">
        <v>1028</v>
      </c>
      <c r="B1368" s="31">
        <v>38.020299999999999</v>
      </c>
      <c r="C1368" s="32" t="s">
        <v>12196</v>
      </c>
      <c r="D1368" s="31" t="s">
        <v>12177</v>
      </c>
      <c r="E1368" s="40" t="s">
        <v>12197</v>
      </c>
      <c r="F1368" s="38" t="s">
        <v>9076</v>
      </c>
      <c r="G1368" s="34" t="s">
        <v>9558</v>
      </c>
      <c r="I1368" s="44" t="s">
        <v>12191</v>
      </c>
      <c r="J1368" s="36" t="s">
        <v>1028</v>
      </c>
    </row>
    <row r="1369" spans="1:10" x14ac:dyDescent="0.25">
      <c r="A1369" s="31" t="s">
        <v>1029</v>
      </c>
      <c r="B1369" s="31">
        <v>38.020400000000002</v>
      </c>
      <c r="C1369" s="32" t="s">
        <v>12198</v>
      </c>
      <c r="D1369" s="31" t="s">
        <v>12177</v>
      </c>
      <c r="E1369" s="40" t="s">
        <v>12199</v>
      </c>
      <c r="F1369" s="38" t="s">
        <v>9076</v>
      </c>
      <c r="G1369" s="34" t="s">
        <v>9558</v>
      </c>
      <c r="I1369" s="44" t="s">
        <v>12191</v>
      </c>
      <c r="J1369" s="36" t="s">
        <v>1029</v>
      </c>
    </row>
    <row r="1370" spans="1:10" x14ac:dyDescent="0.25">
      <c r="A1370" s="31" t="s">
        <v>1030</v>
      </c>
      <c r="B1370" s="31">
        <v>38.020499999999998</v>
      </c>
      <c r="C1370" s="32" t="s">
        <v>12200</v>
      </c>
      <c r="D1370" s="31" t="s">
        <v>12177</v>
      </c>
      <c r="E1370" s="40" t="s">
        <v>12201</v>
      </c>
      <c r="F1370" s="38" t="s">
        <v>9076</v>
      </c>
      <c r="G1370" s="34" t="s">
        <v>9558</v>
      </c>
      <c r="I1370" s="44" t="s">
        <v>12191</v>
      </c>
      <c r="J1370" s="36" t="s">
        <v>1030</v>
      </c>
    </row>
    <row r="1371" spans="1:10" x14ac:dyDescent="0.25">
      <c r="A1371" s="31" t="s">
        <v>1031</v>
      </c>
      <c r="B1371" s="31">
        <v>38.020600000000002</v>
      </c>
      <c r="C1371" s="32" t="s">
        <v>12202</v>
      </c>
      <c r="D1371" s="31" t="s">
        <v>12177</v>
      </c>
      <c r="E1371" s="40" t="s">
        <v>12203</v>
      </c>
      <c r="F1371" s="38" t="s">
        <v>9076</v>
      </c>
      <c r="G1371" s="34" t="s">
        <v>9558</v>
      </c>
      <c r="I1371" s="44" t="s">
        <v>12191</v>
      </c>
      <c r="J1371" s="36" t="s">
        <v>1031</v>
      </c>
    </row>
    <row r="1372" spans="1:10" x14ac:dyDescent="0.25">
      <c r="A1372" s="31" t="s">
        <v>1044</v>
      </c>
      <c r="B1372" s="31">
        <v>38.020699999999998</v>
      </c>
      <c r="C1372" s="32" t="s">
        <v>12204</v>
      </c>
      <c r="D1372" s="31" t="s">
        <v>12177</v>
      </c>
      <c r="E1372" s="40" t="s">
        <v>12205</v>
      </c>
      <c r="F1372" s="38" t="s">
        <v>9076</v>
      </c>
      <c r="G1372" s="34" t="s">
        <v>9558</v>
      </c>
      <c r="I1372" s="44" t="s">
        <v>12191</v>
      </c>
      <c r="J1372" s="36" t="s">
        <v>1044</v>
      </c>
    </row>
    <row r="1373" spans="1:10" x14ac:dyDescent="0.25">
      <c r="A1373" s="31" t="s">
        <v>2032</v>
      </c>
      <c r="B1373" s="31">
        <v>38.020800000000001</v>
      </c>
      <c r="C1373" s="32" t="s">
        <v>12206</v>
      </c>
      <c r="D1373" s="31" t="s">
        <v>12177</v>
      </c>
      <c r="E1373" s="40" t="s">
        <v>12207</v>
      </c>
      <c r="F1373" s="38" t="s">
        <v>9076</v>
      </c>
      <c r="G1373" s="34" t="s">
        <v>9558</v>
      </c>
      <c r="I1373" s="44" t="s">
        <v>12191</v>
      </c>
      <c r="J1373" s="36" t="s">
        <v>2032</v>
      </c>
    </row>
    <row r="1374" spans="1:10" x14ac:dyDescent="0.25">
      <c r="A1374" s="31" t="s">
        <v>2033</v>
      </c>
      <c r="B1374" s="31">
        <v>38.020899999999997</v>
      </c>
      <c r="C1374" s="32" t="s">
        <v>12208</v>
      </c>
      <c r="D1374" s="31" t="s">
        <v>12177</v>
      </c>
      <c r="E1374" s="40" t="s">
        <v>12209</v>
      </c>
      <c r="F1374" s="38" t="s">
        <v>9076</v>
      </c>
      <c r="G1374" s="34" t="s">
        <v>9558</v>
      </c>
      <c r="I1374" s="44" t="s">
        <v>12191</v>
      </c>
      <c r="J1374" s="36" t="s">
        <v>2033</v>
      </c>
    </row>
    <row r="1375" spans="1:10" x14ac:dyDescent="0.25">
      <c r="A1375" s="31" t="s">
        <v>1032</v>
      </c>
      <c r="B1375" s="31">
        <v>38.029899999999998</v>
      </c>
      <c r="C1375" s="32" t="s">
        <v>12210</v>
      </c>
      <c r="D1375" s="31" t="s">
        <v>12177</v>
      </c>
      <c r="E1375" s="40" t="s">
        <v>12211</v>
      </c>
      <c r="F1375" s="38" t="s">
        <v>9076</v>
      </c>
      <c r="G1375" s="34" t="s">
        <v>9558</v>
      </c>
      <c r="I1375" s="44" t="s">
        <v>12191</v>
      </c>
      <c r="J1375" s="36" t="s">
        <v>1032</v>
      </c>
    </row>
    <row r="1376" spans="1:10" x14ac:dyDescent="0.25">
      <c r="A1376" s="31" t="s">
        <v>1033</v>
      </c>
      <c r="B1376" s="31">
        <v>38.99</v>
      </c>
      <c r="C1376" s="32" t="s">
        <v>12212</v>
      </c>
      <c r="D1376" s="31" t="s">
        <v>12177</v>
      </c>
      <c r="E1376" s="40" t="s">
        <v>9559</v>
      </c>
      <c r="F1376" s="38" t="s">
        <v>9076</v>
      </c>
      <c r="G1376" s="34" t="s">
        <v>9559</v>
      </c>
      <c r="H1376" s="34" t="s">
        <v>9559</v>
      </c>
      <c r="I1376" s="35" t="s">
        <v>12212</v>
      </c>
      <c r="J1376" s="36" t="s">
        <v>1033</v>
      </c>
    </row>
    <row r="1377" spans="1:10" x14ac:dyDescent="0.25">
      <c r="A1377" s="31" t="s">
        <v>1033</v>
      </c>
      <c r="B1377" s="31">
        <v>38.999899999999997</v>
      </c>
      <c r="C1377" s="32" t="s">
        <v>12213</v>
      </c>
      <c r="D1377" s="31" t="s">
        <v>12177</v>
      </c>
      <c r="E1377" s="40" t="s">
        <v>12214</v>
      </c>
      <c r="F1377" s="38" t="s">
        <v>9076</v>
      </c>
      <c r="G1377" s="34" t="s">
        <v>9559</v>
      </c>
      <c r="I1377" s="35" t="s">
        <v>12212</v>
      </c>
      <c r="J1377" s="36" t="s">
        <v>1033</v>
      </c>
    </row>
    <row r="1378" spans="1:10" x14ac:dyDescent="0.25">
      <c r="A1378" s="31" t="s">
        <v>1034</v>
      </c>
      <c r="B1378" s="31">
        <v>39</v>
      </c>
      <c r="C1378" s="32" t="s">
        <v>12215</v>
      </c>
      <c r="D1378" s="31" t="s">
        <v>12215</v>
      </c>
      <c r="E1378" s="40" t="s">
        <v>9560</v>
      </c>
      <c r="F1378" s="38" t="s">
        <v>9082</v>
      </c>
      <c r="G1378" s="34" t="s">
        <v>9560</v>
      </c>
      <c r="H1378" s="34" t="s">
        <v>9560</v>
      </c>
      <c r="I1378" s="45" t="s">
        <v>12215</v>
      </c>
      <c r="J1378" s="36" t="s">
        <v>1034</v>
      </c>
    </row>
    <row r="1379" spans="1:10" x14ac:dyDescent="0.25">
      <c r="A1379" s="31" t="s">
        <v>1035</v>
      </c>
      <c r="B1379" s="31">
        <v>39.020000000000003</v>
      </c>
      <c r="C1379" s="32" t="s">
        <v>12216</v>
      </c>
      <c r="D1379" s="31" t="s">
        <v>12215</v>
      </c>
      <c r="E1379" s="40" t="s">
        <v>9561</v>
      </c>
      <c r="F1379" s="38" t="s">
        <v>9082</v>
      </c>
      <c r="G1379" s="34" t="s">
        <v>9561</v>
      </c>
      <c r="H1379" s="34" t="s">
        <v>9561</v>
      </c>
      <c r="I1379" s="44" t="s">
        <v>12216</v>
      </c>
      <c r="J1379" s="36" t="s">
        <v>1035</v>
      </c>
    </row>
    <row r="1380" spans="1:10" x14ac:dyDescent="0.25">
      <c r="A1380" s="31" t="s">
        <v>1035</v>
      </c>
      <c r="B1380" s="31">
        <v>39.020099999999999</v>
      </c>
      <c r="C1380" s="32" t="s">
        <v>12217</v>
      </c>
      <c r="D1380" s="31" t="s">
        <v>12215</v>
      </c>
      <c r="E1380" s="40" t="s">
        <v>12218</v>
      </c>
      <c r="F1380" s="38" t="s">
        <v>9082</v>
      </c>
      <c r="G1380" s="34" t="s">
        <v>9561</v>
      </c>
      <c r="I1380" s="44" t="s">
        <v>12216</v>
      </c>
      <c r="J1380" s="36" t="s">
        <v>1035</v>
      </c>
    </row>
    <row r="1381" spans="1:10" x14ac:dyDescent="0.25">
      <c r="A1381" s="31" t="s">
        <v>1036</v>
      </c>
      <c r="B1381" s="31">
        <v>39.03</v>
      </c>
      <c r="C1381" s="32" t="s">
        <v>12219</v>
      </c>
      <c r="D1381" s="31" t="s">
        <v>12215</v>
      </c>
      <c r="E1381" s="40" t="s">
        <v>9562</v>
      </c>
      <c r="F1381" s="38" t="s">
        <v>9082</v>
      </c>
      <c r="G1381" s="34" t="s">
        <v>9562</v>
      </c>
      <c r="H1381" s="34" t="s">
        <v>9562</v>
      </c>
      <c r="I1381" s="35" t="s">
        <v>12219</v>
      </c>
      <c r="J1381" s="36" t="s">
        <v>1036</v>
      </c>
    </row>
    <row r="1382" spans="1:10" x14ac:dyDescent="0.25">
      <c r="A1382" s="31" t="s">
        <v>2034</v>
      </c>
      <c r="B1382" s="31">
        <v>39.030099999999997</v>
      </c>
      <c r="C1382" s="32" t="s">
        <v>12220</v>
      </c>
      <c r="D1382" s="31" t="s">
        <v>12215</v>
      </c>
      <c r="E1382" s="40" t="s">
        <v>12221</v>
      </c>
      <c r="F1382" s="38" t="s">
        <v>9082</v>
      </c>
      <c r="G1382" s="34" t="s">
        <v>9562</v>
      </c>
      <c r="I1382" s="35" t="s">
        <v>12219</v>
      </c>
      <c r="J1382" s="36" t="s">
        <v>2034</v>
      </c>
    </row>
    <row r="1383" spans="1:10" x14ac:dyDescent="0.25">
      <c r="A1383" s="31" t="s">
        <v>2035</v>
      </c>
      <c r="B1383" s="31">
        <v>39.030200000000001</v>
      </c>
      <c r="C1383" s="32" t="s">
        <v>12222</v>
      </c>
      <c r="D1383" s="31" t="s">
        <v>12215</v>
      </c>
      <c r="E1383" s="40" t="s">
        <v>12223</v>
      </c>
      <c r="F1383" s="38" t="s">
        <v>9082</v>
      </c>
      <c r="G1383" s="34" t="s">
        <v>9562</v>
      </c>
      <c r="I1383" s="35" t="s">
        <v>12219</v>
      </c>
      <c r="J1383" s="36" t="s">
        <v>2035</v>
      </c>
    </row>
    <row r="1384" spans="1:10" x14ac:dyDescent="0.25">
      <c r="A1384" s="31" t="s">
        <v>2036</v>
      </c>
      <c r="B1384" s="31">
        <v>39.039900000000003</v>
      </c>
      <c r="C1384" s="32" t="s">
        <v>12224</v>
      </c>
      <c r="D1384" s="31" t="s">
        <v>12215</v>
      </c>
      <c r="E1384" s="40" t="s">
        <v>12225</v>
      </c>
      <c r="F1384" s="38" t="s">
        <v>9082</v>
      </c>
      <c r="G1384" s="34" t="s">
        <v>9562</v>
      </c>
      <c r="I1384" s="35" t="s">
        <v>12219</v>
      </c>
      <c r="J1384" s="36" t="s">
        <v>2036</v>
      </c>
    </row>
    <row r="1385" spans="1:10" x14ac:dyDescent="0.25">
      <c r="A1385" s="31" t="s">
        <v>1037</v>
      </c>
      <c r="B1385" s="31">
        <v>39.04</v>
      </c>
      <c r="C1385" s="32" t="s">
        <v>12226</v>
      </c>
      <c r="D1385" s="31" t="s">
        <v>12215</v>
      </c>
      <c r="E1385" s="40" t="s">
        <v>9563</v>
      </c>
      <c r="F1385" s="38" t="s">
        <v>9082</v>
      </c>
      <c r="G1385" s="34" t="s">
        <v>9563</v>
      </c>
      <c r="H1385" s="34" t="s">
        <v>9563</v>
      </c>
      <c r="I1385" s="35" t="s">
        <v>12226</v>
      </c>
      <c r="J1385" s="36" t="s">
        <v>1037</v>
      </c>
    </row>
    <row r="1386" spans="1:10" x14ac:dyDescent="0.25">
      <c r="A1386" s="31" t="s">
        <v>1037</v>
      </c>
      <c r="B1386" s="31">
        <v>39.040100000000002</v>
      </c>
      <c r="C1386" s="32" t="s">
        <v>12227</v>
      </c>
      <c r="D1386" s="31" t="s">
        <v>12215</v>
      </c>
      <c r="E1386" s="40" t="s">
        <v>12228</v>
      </c>
      <c r="F1386" s="38" t="s">
        <v>9082</v>
      </c>
      <c r="G1386" s="34" t="s">
        <v>9563</v>
      </c>
      <c r="I1386" s="35" t="s">
        <v>12226</v>
      </c>
      <c r="J1386" s="36" t="s">
        <v>1037</v>
      </c>
    </row>
    <row r="1387" spans="1:10" x14ac:dyDescent="0.25">
      <c r="A1387" s="31" t="s">
        <v>2037</v>
      </c>
      <c r="B1387" s="31">
        <v>39.049999999999997</v>
      </c>
      <c r="C1387" s="32" t="s">
        <v>12229</v>
      </c>
      <c r="D1387" s="31" t="s">
        <v>12215</v>
      </c>
      <c r="E1387" s="40" t="s">
        <v>9564</v>
      </c>
      <c r="F1387" s="38" t="s">
        <v>9082</v>
      </c>
      <c r="G1387" s="34" t="s">
        <v>9564</v>
      </c>
      <c r="H1387" s="34" t="s">
        <v>9564</v>
      </c>
      <c r="I1387" s="35" t="s">
        <v>12229</v>
      </c>
      <c r="J1387" s="36" t="s">
        <v>2037</v>
      </c>
    </row>
    <row r="1388" spans="1:10" x14ac:dyDescent="0.25">
      <c r="A1388" s="31" t="s">
        <v>1038</v>
      </c>
      <c r="B1388" s="31">
        <v>39.0501</v>
      </c>
      <c r="C1388" s="32" t="s">
        <v>12230</v>
      </c>
      <c r="D1388" s="31" t="s">
        <v>12215</v>
      </c>
      <c r="E1388" s="40" t="s">
        <v>12231</v>
      </c>
      <c r="F1388" s="38" t="s">
        <v>9082</v>
      </c>
      <c r="G1388" s="34" t="s">
        <v>9564</v>
      </c>
      <c r="I1388" s="35" t="s">
        <v>12229</v>
      </c>
      <c r="J1388" s="36" t="s">
        <v>1038</v>
      </c>
    </row>
    <row r="1389" spans="1:10" x14ac:dyDescent="0.25">
      <c r="A1389" s="31" t="s">
        <v>2038</v>
      </c>
      <c r="B1389" s="31">
        <v>39.050199999999997</v>
      </c>
      <c r="C1389" s="32" t="s">
        <v>12232</v>
      </c>
      <c r="D1389" s="31" t="s">
        <v>12215</v>
      </c>
      <c r="E1389" s="40" t="s">
        <v>12233</v>
      </c>
      <c r="F1389" s="38" t="s">
        <v>9082</v>
      </c>
      <c r="G1389" s="34" t="s">
        <v>9564</v>
      </c>
      <c r="I1389" s="35" t="s">
        <v>12229</v>
      </c>
      <c r="J1389" s="36" t="s">
        <v>2038</v>
      </c>
    </row>
    <row r="1390" spans="1:10" x14ac:dyDescent="0.25">
      <c r="A1390" s="31" t="s">
        <v>2039</v>
      </c>
      <c r="B1390" s="31">
        <v>39.059899999999999</v>
      </c>
      <c r="C1390" s="32" t="s">
        <v>12234</v>
      </c>
      <c r="D1390" s="31" t="s">
        <v>12215</v>
      </c>
      <c r="E1390" s="40" t="s">
        <v>12235</v>
      </c>
      <c r="F1390" s="38" t="s">
        <v>9082</v>
      </c>
      <c r="G1390" s="34" t="s">
        <v>9564</v>
      </c>
      <c r="I1390" s="35" t="s">
        <v>12229</v>
      </c>
      <c r="J1390" s="36" t="s">
        <v>2039</v>
      </c>
    </row>
    <row r="1391" spans="1:10" x14ac:dyDescent="0.25">
      <c r="A1391" s="31" t="s">
        <v>1039</v>
      </c>
      <c r="B1391" s="31">
        <v>39.06</v>
      </c>
      <c r="C1391" s="32" t="s">
        <v>12236</v>
      </c>
      <c r="D1391" s="31" t="s">
        <v>12215</v>
      </c>
      <c r="E1391" s="40" t="s">
        <v>9565</v>
      </c>
      <c r="F1391" s="38" t="s">
        <v>9082</v>
      </c>
      <c r="G1391" s="34" t="s">
        <v>9565</v>
      </c>
      <c r="H1391" s="34" t="s">
        <v>9565</v>
      </c>
      <c r="I1391" s="44" t="s">
        <v>12236</v>
      </c>
      <c r="J1391" s="36" t="s">
        <v>1039</v>
      </c>
    </row>
    <row r="1392" spans="1:10" x14ac:dyDescent="0.25">
      <c r="A1392" s="31" t="s">
        <v>1040</v>
      </c>
      <c r="B1392" s="31">
        <v>39.060099999999998</v>
      </c>
      <c r="C1392" s="32" t="s">
        <v>12237</v>
      </c>
      <c r="D1392" s="31" t="s">
        <v>12215</v>
      </c>
      <c r="E1392" s="40" t="s">
        <v>12238</v>
      </c>
      <c r="F1392" s="38" t="s">
        <v>9082</v>
      </c>
      <c r="G1392" s="34" t="s">
        <v>9565</v>
      </c>
      <c r="I1392" s="44" t="s">
        <v>12236</v>
      </c>
      <c r="J1392" s="36" t="s">
        <v>1040</v>
      </c>
    </row>
    <row r="1393" spans="1:10" x14ac:dyDescent="0.25">
      <c r="A1393" s="31" t="s">
        <v>1041</v>
      </c>
      <c r="B1393" s="31">
        <v>39.060200000000002</v>
      </c>
      <c r="C1393" s="32" t="s">
        <v>12239</v>
      </c>
      <c r="D1393" s="31" t="s">
        <v>12215</v>
      </c>
      <c r="E1393" s="40" t="s">
        <v>12240</v>
      </c>
      <c r="F1393" s="38" t="s">
        <v>9082</v>
      </c>
      <c r="G1393" s="34" t="s">
        <v>9565</v>
      </c>
      <c r="I1393" s="44" t="s">
        <v>12236</v>
      </c>
      <c r="J1393" s="36" t="s">
        <v>1041</v>
      </c>
    </row>
    <row r="1394" spans="1:10" x14ac:dyDescent="0.25">
      <c r="A1394" s="31" t="s">
        <v>1042</v>
      </c>
      <c r="B1394" s="31">
        <v>39.060400000000001</v>
      </c>
      <c r="C1394" s="32" t="s">
        <v>12241</v>
      </c>
      <c r="D1394" s="31" t="s">
        <v>12215</v>
      </c>
      <c r="E1394" s="40" t="s">
        <v>12242</v>
      </c>
      <c r="F1394" s="38" t="s">
        <v>9082</v>
      </c>
      <c r="G1394" s="34" t="s">
        <v>9565</v>
      </c>
      <c r="I1394" s="44" t="s">
        <v>12236</v>
      </c>
      <c r="J1394" s="36" t="s">
        <v>1042</v>
      </c>
    </row>
    <row r="1395" spans="1:10" x14ac:dyDescent="0.25">
      <c r="A1395" s="31" t="s">
        <v>1043</v>
      </c>
      <c r="B1395" s="31">
        <v>39.060499999999998</v>
      </c>
      <c r="C1395" s="32" t="s">
        <v>12243</v>
      </c>
      <c r="D1395" s="31" t="s">
        <v>12215</v>
      </c>
      <c r="E1395" s="40" t="s">
        <v>12244</v>
      </c>
      <c r="F1395" s="38" t="s">
        <v>9082</v>
      </c>
      <c r="G1395" s="34" t="s">
        <v>9565</v>
      </c>
      <c r="I1395" s="44" t="s">
        <v>12236</v>
      </c>
      <c r="J1395" s="36" t="s">
        <v>1043</v>
      </c>
    </row>
    <row r="1396" spans="1:10" x14ac:dyDescent="0.25">
      <c r="A1396" s="31" t="s">
        <v>1044</v>
      </c>
      <c r="B1396" s="31">
        <v>39.060600000000001</v>
      </c>
      <c r="C1396" s="32" t="s">
        <v>12245</v>
      </c>
      <c r="D1396" s="31" t="s">
        <v>12215</v>
      </c>
      <c r="E1396" s="40" t="s">
        <v>12246</v>
      </c>
      <c r="F1396" s="38" t="s">
        <v>9082</v>
      </c>
      <c r="G1396" s="34" t="s">
        <v>9565</v>
      </c>
      <c r="I1396" s="44" t="s">
        <v>12236</v>
      </c>
      <c r="J1396" s="36" t="s">
        <v>1044</v>
      </c>
    </row>
    <row r="1397" spans="1:10" x14ac:dyDescent="0.25">
      <c r="A1397" s="31" t="s">
        <v>1045</v>
      </c>
      <c r="B1397" s="31">
        <v>39.069899999999997</v>
      </c>
      <c r="C1397" s="32" t="s">
        <v>12247</v>
      </c>
      <c r="D1397" s="31" t="s">
        <v>12215</v>
      </c>
      <c r="E1397" s="40" t="s">
        <v>12248</v>
      </c>
      <c r="F1397" s="38" t="s">
        <v>9082</v>
      </c>
      <c r="G1397" s="34" t="s">
        <v>9565</v>
      </c>
      <c r="I1397" s="44" t="s">
        <v>12236</v>
      </c>
      <c r="J1397" s="36" t="s">
        <v>1045</v>
      </c>
    </row>
    <row r="1398" spans="1:10" x14ac:dyDescent="0.25">
      <c r="A1398" s="31" t="s">
        <v>1046</v>
      </c>
      <c r="B1398" s="31">
        <v>39.07</v>
      </c>
      <c r="C1398" s="32" t="s">
        <v>12249</v>
      </c>
      <c r="D1398" s="31" t="s">
        <v>12215</v>
      </c>
      <c r="E1398" s="40" t="s">
        <v>9566</v>
      </c>
      <c r="F1398" s="38" t="s">
        <v>9082</v>
      </c>
      <c r="G1398" s="34" t="s">
        <v>9566</v>
      </c>
      <c r="H1398" s="34" t="s">
        <v>9566</v>
      </c>
      <c r="I1398" s="44" t="s">
        <v>12249</v>
      </c>
      <c r="J1398" s="36" t="s">
        <v>1046</v>
      </c>
    </row>
    <row r="1399" spans="1:10" x14ac:dyDescent="0.25">
      <c r="A1399" s="31" t="s">
        <v>1047</v>
      </c>
      <c r="B1399" s="31">
        <v>39.070099999999996</v>
      </c>
      <c r="C1399" s="32" t="s">
        <v>12250</v>
      </c>
      <c r="D1399" s="31" t="s">
        <v>12215</v>
      </c>
      <c r="E1399" s="40" t="s">
        <v>12251</v>
      </c>
      <c r="F1399" s="38" t="s">
        <v>9082</v>
      </c>
      <c r="G1399" s="34" t="s">
        <v>9566</v>
      </c>
      <c r="I1399" s="44" t="s">
        <v>12249</v>
      </c>
      <c r="J1399" s="36" t="s">
        <v>1047</v>
      </c>
    </row>
    <row r="1400" spans="1:10" x14ac:dyDescent="0.25">
      <c r="A1400" s="31" t="s">
        <v>1048</v>
      </c>
      <c r="B1400" s="31">
        <v>39.0702</v>
      </c>
      <c r="C1400" s="32" t="s">
        <v>12252</v>
      </c>
      <c r="D1400" s="31" t="s">
        <v>12215</v>
      </c>
      <c r="E1400" s="40" t="s">
        <v>12253</v>
      </c>
      <c r="F1400" s="38" t="s">
        <v>9082</v>
      </c>
      <c r="G1400" s="34" t="s">
        <v>9566</v>
      </c>
      <c r="I1400" s="44" t="s">
        <v>12249</v>
      </c>
      <c r="J1400" s="36" t="s">
        <v>1048</v>
      </c>
    </row>
    <row r="1401" spans="1:10" x14ac:dyDescent="0.25">
      <c r="A1401" s="31" t="s">
        <v>1049</v>
      </c>
      <c r="B1401" s="31">
        <v>39.070300000000003</v>
      </c>
      <c r="C1401" s="32" t="s">
        <v>12254</v>
      </c>
      <c r="D1401" s="31" t="s">
        <v>12215</v>
      </c>
      <c r="E1401" s="40" t="s">
        <v>12255</v>
      </c>
      <c r="F1401" s="38" t="s">
        <v>9082</v>
      </c>
      <c r="G1401" s="34" t="s">
        <v>9566</v>
      </c>
      <c r="I1401" s="44" t="s">
        <v>12249</v>
      </c>
      <c r="J1401" s="36" t="s">
        <v>1049</v>
      </c>
    </row>
    <row r="1402" spans="1:10" x14ac:dyDescent="0.25">
      <c r="A1402" s="31" t="s">
        <v>1050</v>
      </c>
      <c r="B1402" s="31">
        <v>39.070399999999999</v>
      </c>
      <c r="C1402" s="32" t="s">
        <v>12256</v>
      </c>
      <c r="D1402" s="31" t="s">
        <v>12215</v>
      </c>
      <c r="E1402" s="40" t="s">
        <v>12257</v>
      </c>
      <c r="F1402" s="38" t="s">
        <v>9082</v>
      </c>
      <c r="G1402" s="34" t="s">
        <v>9566</v>
      </c>
      <c r="I1402" s="44" t="s">
        <v>12249</v>
      </c>
      <c r="J1402" s="36" t="s">
        <v>1050</v>
      </c>
    </row>
    <row r="1403" spans="1:10" x14ac:dyDescent="0.25">
      <c r="A1403" s="31" t="s">
        <v>1051</v>
      </c>
      <c r="B1403" s="31">
        <v>39.070500000000003</v>
      </c>
      <c r="C1403" s="32" t="s">
        <v>12258</v>
      </c>
      <c r="D1403" s="31" t="s">
        <v>12215</v>
      </c>
      <c r="E1403" s="40" t="s">
        <v>12259</v>
      </c>
      <c r="F1403" s="38" t="s">
        <v>9082</v>
      </c>
      <c r="G1403" s="34" t="s">
        <v>9566</v>
      </c>
      <c r="I1403" s="44" t="s">
        <v>12249</v>
      </c>
      <c r="J1403" s="36" t="s">
        <v>1051</v>
      </c>
    </row>
    <row r="1404" spans="1:10" x14ac:dyDescent="0.25">
      <c r="A1404" s="31" t="s">
        <v>2040</v>
      </c>
      <c r="B1404" s="31">
        <v>39.070599999999999</v>
      </c>
      <c r="C1404" s="32" t="s">
        <v>12260</v>
      </c>
      <c r="D1404" s="31" t="s">
        <v>12215</v>
      </c>
      <c r="E1404" s="40" t="s">
        <v>12261</v>
      </c>
      <c r="F1404" s="38" t="s">
        <v>9082</v>
      </c>
      <c r="G1404" s="34" t="s">
        <v>9566</v>
      </c>
      <c r="I1404" s="44" t="s">
        <v>12249</v>
      </c>
      <c r="J1404" s="36" t="s">
        <v>2040</v>
      </c>
    </row>
    <row r="1405" spans="1:10" x14ac:dyDescent="0.25">
      <c r="A1405" s="31" t="s">
        <v>1052</v>
      </c>
      <c r="B1405" s="31">
        <v>39.079900000000002</v>
      </c>
      <c r="C1405" s="32" t="s">
        <v>12262</v>
      </c>
      <c r="D1405" s="31" t="s">
        <v>12215</v>
      </c>
      <c r="E1405" s="40" t="s">
        <v>12263</v>
      </c>
      <c r="F1405" s="38" t="s">
        <v>9082</v>
      </c>
      <c r="G1405" s="34" t="s">
        <v>9566</v>
      </c>
      <c r="I1405" s="44" t="s">
        <v>12249</v>
      </c>
      <c r="J1405" s="36" t="s">
        <v>1052</v>
      </c>
    </row>
    <row r="1406" spans="1:10" x14ac:dyDescent="0.25">
      <c r="A1406" s="31" t="s">
        <v>2041</v>
      </c>
      <c r="B1406" s="31">
        <v>39.08</v>
      </c>
      <c r="C1406" s="32" t="s">
        <v>12264</v>
      </c>
      <c r="D1406" s="31" t="s">
        <v>12215</v>
      </c>
      <c r="E1406" s="40" t="s">
        <v>9567</v>
      </c>
      <c r="F1406" s="38" t="s">
        <v>9082</v>
      </c>
      <c r="G1406" s="34" t="s">
        <v>9567</v>
      </c>
      <c r="H1406" s="34" t="s">
        <v>9567</v>
      </c>
      <c r="I1406" s="35" t="s">
        <v>12264</v>
      </c>
      <c r="J1406" s="36" t="s">
        <v>2041</v>
      </c>
    </row>
    <row r="1407" spans="1:10" x14ac:dyDescent="0.25">
      <c r="A1407" s="31" t="s">
        <v>2042</v>
      </c>
      <c r="B1407" s="31">
        <v>39.080100000000002</v>
      </c>
      <c r="C1407" s="32" t="s">
        <v>12265</v>
      </c>
      <c r="D1407" s="31" t="s">
        <v>12215</v>
      </c>
      <c r="E1407" s="40" t="s">
        <v>12266</v>
      </c>
      <c r="F1407" s="38" t="s">
        <v>9082</v>
      </c>
      <c r="G1407" s="34" t="s">
        <v>9567</v>
      </c>
      <c r="I1407" s="35" t="s">
        <v>12264</v>
      </c>
      <c r="J1407" s="36" t="s">
        <v>2042</v>
      </c>
    </row>
    <row r="1408" spans="1:10" x14ac:dyDescent="0.25">
      <c r="A1408" s="31" t="s">
        <v>2043</v>
      </c>
      <c r="B1408" s="31">
        <v>39.080199999999998</v>
      </c>
      <c r="C1408" s="32" t="s">
        <v>12267</v>
      </c>
      <c r="D1408" s="31" t="s">
        <v>12215</v>
      </c>
      <c r="E1408" s="40" t="s">
        <v>12268</v>
      </c>
      <c r="F1408" s="38" t="s">
        <v>9082</v>
      </c>
      <c r="G1408" s="34" t="s">
        <v>9567</v>
      </c>
      <c r="I1408" s="35" t="s">
        <v>12264</v>
      </c>
      <c r="J1408" s="36" t="s">
        <v>2043</v>
      </c>
    </row>
    <row r="1409" spans="1:10" x14ac:dyDescent="0.25">
      <c r="A1409" s="31" t="s">
        <v>2044</v>
      </c>
      <c r="B1409" s="31">
        <v>39.0899</v>
      </c>
      <c r="C1409" s="32" t="s">
        <v>12269</v>
      </c>
      <c r="D1409" s="31" t="s">
        <v>12215</v>
      </c>
      <c r="E1409" s="40" t="s">
        <v>12270</v>
      </c>
      <c r="F1409" s="38" t="s">
        <v>9082</v>
      </c>
      <c r="G1409" s="34" t="s">
        <v>9567</v>
      </c>
      <c r="I1409" s="35" t="s">
        <v>12264</v>
      </c>
      <c r="J1409" s="36" t="s">
        <v>2044</v>
      </c>
    </row>
    <row r="1410" spans="1:10" x14ac:dyDescent="0.25">
      <c r="A1410" s="31" t="s">
        <v>1053</v>
      </c>
      <c r="B1410" s="31">
        <v>39.99</v>
      </c>
      <c r="C1410" s="32" t="s">
        <v>12271</v>
      </c>
      <c r="D1410" s="31" t="s">
        <v>12215</v>
      </c>
      <c r="E1410" s="40" t="s">
        <v>9568</v>
      </c>
      <c r="F1410" s="38" t="s">
        <v>9082</v>
      </c>
      <c r="G1410" s="34" t="s">
        <v>9568</v>
      </c>
      <c r="H1410" s="34" t="s">
        <v>9568</v>
      </c>
      <c r="I1410" s="44" t="s">
        <v>12271</v>
      </c>
      <c r="J1410" s="36" t="s">
        <v>1053</v>
      </c>
    </row>
    <row r="1411" spans="1:10" x14ac:dyDescent="0.25">
      <c r="A1411" s="31" t="s">
        <v>1053</v>
      </c>
      <c r="B1411" s="31">
        <v>39.999899999999997</v>
      </c>
      <c r="C1411" s="32" t="s">
        <v>12272</v>
      </c>
      <c r="D1411" s="31" t="s">
        <v>12215</v>
      </c>
      <c r="E1411" s="40" t="s">
        <v>12273</v>
      </c>
      <c r="F1411" s="38" t="s">
        <v>9082</v>
      </c>
      <c r="G1411" s="34" t="s">
        <v>9568</v>
      </c>
      <c r="I1411" s="44" t="s">
        <v>12271</v>
      </c>
      <c r="J1411" s="36" t="s">
        <v>1053</v>
      </c>
    </row>
    <row r="1412" spans="1:10" x14ac:dyDescent="0.25">
      <c r="A1412" s="31" t="s">
        <v>1054</v>
      </c>
      <c r="B1412" s="31">
        <v>40</v>
      </c>
      <c r="C1412" s="32" t="s">
        <v>12274</v>
      </c>
      <c r="D1412" s="31" t="s">
        <v>12274</v>
      </c>
      <c r="E1412" s="40" t="s">
        <v>9569</v>
      </c>
      <c r="F1412" s="38" t="s">
        <v>9089</v>
      </c>
      <c r="G1412" s="34" t="s">
        <v>9569</v>
      </c>
      <c r="H1412" s="34" t="s">
        <v>9569</v>
      </c>
      <c r="I1412" s="45" t="s">
        <v>12274</v>
      </c>
      <c r="J1412" s="36" t="s">
        <v>1054</v>
      </c>
    </row>
    <row r="1413" spans="1:10" x14ac:dyDescent="0.25">
      <c r="A1413" s="31" t="s">
        <v>2045</v>
      </c>
      <c r="B1413" s="31">
        <v>40.01</v>
      </c>
      <c r="C1413" s="32" t="s">
        <v>12275</v>
      </c>
      <c r="D1413" s="31" t="s">
        <v>12274</v>
      </c>
      <c r="E1413" s="40" t="s">
        <v>9570</v>
      </c>
      <c r="F1413" s="38" t="s">
        <v>9089</v>
      </c>
      <c r="G1413" s="34" t="s">
        <v>9570</v>
      </c>
      <c r="H1413" s="34" t="s">
        <v>9570</v>
      </c>
      <c r="I1413" s="44" t="s">
        <v>12275</v>
      </c>
      <c r="J1413" s="36" t="s">
        <v>2045</v>
      </c>
    </row>
    <row r="1414" spans="1:10" x14ac:dyDescent="0.25">
      <c r="A1414" s="31" t="s">
        <v>2045</v>
      </c>
      <c r="B1414" s="31">
        <v>40.010100000000001</v>
      </c>
      <c r="C1414" s="32" t="s">
        <v>12276</v>
      </c>
      <c r="D1414" s="31" t="s">
        <v>12274</v>
      </c>
      <c r="E1414" s="40" t="s">
        <v>12277</v>
      </c>
      <c r="F1414" s="38" t="s">
        <v>9089</v>
      </c>
      <c r="G1414" s="34" t="s">
        <v>9570</v>
      </c>
      <c r="I1414" s="44" t="s">
        <v>12275</v>
      </c>
      <c r="J1414" s="36" t="s">
        <v>2045</v>
      </c>
    </row>
    <row r="1415" spans="1:10" x14ac:dyDescent="0.25">
      <c r="A1415" s="31" t="s">
        <v>1055</v>
      </c>
      <c r="B1415" s="31">
        <v>40.020000000000003</v>
      </c>
      <c r="C1415" s="32" t="s">
        <v>12278</v>
      </c>
      <c r="D1415" s="31" t="s">
        <v>12274</v>
      </c>
      <c r="E1415" s="40" t="s">
        <v>9571</v>
      </c>
      <c r="F1415" s="38" t="s">
        <v>9089</v>
      </c>
      <c r="G1415" s="34" t="s">
        <v>9571</v>
      </c>
      <c r="H1415" s="34" t="s">
        <v>9571</v>
      </c>
      <c r="I1415" s="44" t="s">
        <v>12278</v>
      </c>
      <c r="J1415" s="36" t="s">
        <v>1055</v>
      </c>
    </row>
    <row r="1416" spans="1:10" x14ac:dyDescent="0.25">
      <c r="A1416" s="31" t="s">
        <v>1056</v>
      </c>
      <c r="B1416" s="31">
        <v>40.020099999999999</v>
      </c>
      <c r="C1416" s="32" t="s">
        <v>12279</v>
      </c>
      <c r="D1416" s="31" t="s">
        <v>12274</v>
      </c>
      <c r="E1416" s="40" t="s">
        <v>12280</v>
      </c>
      <c r="F1416" s="38" t="s">
        <v>9089</v>
      </c>
      <c r="G1416" s="34" t="s">
        <v>9571</v>
      </c>
      <c r="I1416" s="44" t="s">
        <v>12278</v>
      </c>
      <c r="J1416" s="36" t="s">
        <v>1056</v>
      </c>
    </row>
    <row r="1417" spans="1:10" x14ac:dyDescent="0.25">
      <c r="A1417" s="31" t="s">
        <v>1057</v>
      </c>
      <c r="B1417" s="31">
        <v>40.020200000000003</v>
      </c>
      <c r="C1417" s="32" t="s">
        <v>12281</v>
      </c>
      <c r="D1417" s="31" t="s">
        <v>12274</v>
      </c>
      <c r="E1417" s="40" t="s">
        <v>12282</v>
      </c>
      <c r="F1417" s="38" t="s">
        <v>9089</v>
      </c>
      <c r="G1417" s="34" t="s">
        <v>9571</v>
      </c>
      <c r="I1417" s="44" t="s">
        <v>12278</v>
      </c>
      <c r="J1417" s="36" t="s">
        <v>1057</v>
      </c>
    </row>
    <row r="1418" spans="1:10" x14ac:dyDescent="0.25">
      <c r="A1418" s="31" t="s">
        <v>1058</v>
      </c>
      <c r="B1418" s="31">
        <v>40.020299999999999</v>
      </c>
      <c r="C1418" s="32" t="s">
        <v>12283</v>
      </c>
      <c r="D1418" s="31" t="s">
        <v>12274</v>
      </c>
      <c r="E1418" s="40" t="s">
        <v>12284</v>
      </c>
      <c r="F1418" s="38" t="s">
        <v>9089</v>
      </c>
      <c r="G1418" s="34" t="s">
        <v>9571</v>
      </c>
      <c r="I1418" s="44" t="s">
        <v>12278</v>
      </c>
      <c r="J1418" s="36" t="s">
        <v>1058</v>
      </c>
    </row>
    <row r="1419" spans="1:10" x14ac:dyDescent="0.25">
      <c r="A1419" s="31" t="s">
        <v>1059</v>
      </c>
      <c r="B1419" s="31">
        <v>40.029899999999998</v>
      </c>
      <c r="C1419" s="32" t="s">
        <v>12285</v>
      </c>
      <c r="D1419" s="31" t="s">
        <v>12274</v>
      </c>
      <c r="E1419" s="40" t="s">
        <v>12286</v>
      </c>
      <c r="F1419" s="38" t="s">
        <v>9089</v>
      </c>
      <c r="G1419" s="34" t="s">
        <v>9571</v>
      </c>
      <c r="I1419" s="44" t="s">
        <v>12278</v>
      </c>
      <c r="J1419" s="36" t="s">
        <v>1059</v>
      </c>
    </row>
    <row r="1420" spans="1:10" x14ac:dyDescent="0.25">
      <c r="A1420" s="31" t="s">
        <v>1060</v>
      </c>
      <c r="B1420" s="31">
        <v>40.04</v>
      </c>
      <c r="C1420" s="32" t="s">
        <v>12287</v>
      </c>
      <c r="D1420" s="31" t="s">
        <v>12274</v>
      </c>
      <c r="E1420" s="40" t="s">
        <v>9572</v>
      </c>
      <c r="F1420" s="38" t="s">
        <v>9089</v>
      </c>
      <c r="G1420" s="34" t="s">
        <v>9572</v>
      </c>
      <c r="H1420" s="34" t="s">
        <v>9572</v>
      </c>
      <c r="I1420" s="44" t="s">
        <v>12287</v>
      </c>
      <c r="J1420" s="36" t="s">
        <v>1060</v>
      </c>
    </row>
    <row r="1421" spans="1:10" x14ac:dyDescent="0.25">
      <c r="A1421" s="31" t="s">
        <v>1061</v>
      </c>
      <c r="B1421" s="31">
        <v>40.040100000000002</v>
      </c>
      <c r="C1421" s="32" t="s">
        <v>12288</v>
      </c>
      <c r="D1421" s="31" t="s">
        <v>12274</v>
      </c>
      <c r="E1421" s="40" t="s">
        <v>12289</v>
      </c>
      <c r="F1421" s="38" t="s">
        <v>9089</v>
      </c>
      <c r="G1421" s="34" t="s">
        <v>9572</v>
      </c>
      <c r="I1421" s="44" t="s">
        <v>12287</v>
      </c>
      <c r="J1421" s="36" t="s">
        <v>1061</v>
      </c>
    </row>
    <row r="1422" spans="1:10" x14ac:dyDescent="0.25">
      <c r="A1422" s="31" t="s">
        <v>1062</v>
      </c>
      <c r="B1422" s="31">
        <v>40.040199999999999</v>
      </c>
      <c r="C1422" s="32" t="s">
        <v>12290</v>
      </c>
      <c r="D1422" s="31" t="s">
        <v>12274</v>
      </c>
      <c r="E1422" s="40" t="s">
        <v>12291</v>
      </c>
      <c r="F1422" s="38" t="s">
        <v>9089</v>
      </c>
      <c r="G1422" s="34" t="s">
        <v>9572</v>
      </c>
      <c r="I1422" s="44" t="s">
        <v>12287</v>
      </c>
      <c r="J1422" s="36" t="s">
        <v>1062</v>
      </c>
    </row>
    <row r="1423" spans="1:10" x14ac:dyDescent="0.25">
      <c r="A1423" s="31" t="s">
        <v>1063</v>
      </c>
      <c r="B1423" s="31">
        <v>40.040300000000002</v>
      </c>
      <c r="C1423" s="32" t="s">
        <v>12292</v>
      </c>
      <c r="D1423" s="31" t="s">
        <v>12274</v>
      </c>
      <c r="E1423" s="40" t="s">
        <v>12293</v>
      </c>
      <c r="F1423" s="38" t="s">
        <v>9089</v>
      </c>
      <c r="G1423" s="34" t="s">
        <v>9572</v>
      </c>
      <c r="I1423" s="44" t="s">
        <v>12287</v>
      </c>
      <c r="J1423" s="36" t="s">
        <v>1063</v>
      </c>
    </row>
    <row r="1424" spans="1:10" x14ac:dyDescent="0.25">
      <c r="A1424" s="31" t="s">
        <v>1064</v>
      </c>
      <c r="B1424" s="31">
        <v>40.040399999999998</v>
      </c>
      <c r="C1424" s="32" t="s">
        <v>12294</v>
      </c>
      <c r="D1424" s="31" t="s">
        <v>12274</v>
      </c>
      <c r="E1424" s="40" t="s">
        <v>12295</v>
      </c>
      <c r="F1424" s="38" t="s">
        <v>9089</v>
      </c>
      <c r="G1424" s="34" t="s">
        <v>9572</v>
      </c>
      <c r="I1424" s="44" t="s">
        <v>12287</v>
      </c>
      <c r="J1424" s="36" t="s">
        <v>1064</v>
      </c>
    </row>
    <row r="1425" spans="1:10" x14ac:dyDescent="0.25">
      <c r="A1425" s="31" t="s">
        <v>1065</v>
      </c>
      <c r="B1425" s="31">
        <v>40.049900000000001</v>
      </c>
      <c r="C1425" s="32" t="s">
        <v>12296</v>
      </c>
      <c r="D1425" s="31" t="s">
        <v>12274</v>
      </c>
      <c r="E1425" s="40" t="s">
        <v>12297</v>
      </c>
      <c r="F1425" s="38" t="s">
        <v>9089</v>
      </c>
      <c r="G1425" s="34" t="s">
        <v>9572</v>
      </c>
      <c r="I1425" s="44" t="s">
        <v>12287</v>
      </c>
      <c r="J1425" s="36" t="s">
        <v>1065</v>
      </c>
    </row>
    <row r="1426" spans="1:10" x14ac:dyDescent="0.25">
      <c r="A1426" s="31" t="s">
        <v>1066</v>
      </c>
      <c r="B1426" s="31">
        <v>40.049999999999997</v>
      </c>
      <c r="C1426" s="32" t="s">
        <v>12298</v>
      </c>
      <c r="D1426" s="31" t="s">
        <v>12274</v>
      </c>
      <c r="E1426" s="40" t="s">
        <v>9573</v>
      </c>
      <c r="F1426" s="38" t="s">
        <v>9089</v>
      </c>
      <c r="G1426" s="34" t="s">
        <v>9573</v>
      </c>
      <c r="H1426" s="34" t="s">
        <v>9573</v>
      </c>
      <c r="I1426" s="44" t="s">
        <v>12298</v>
      </c>
      <c r="J1426" s="36" t="s">
        <v>1066</v>
      </c>
    </row>
    <row r="1427" spans="1:10" x14ac:dyDescent="0.25">
      <c r="A1427" s="31" t="s">
        <v>1067</v>
      </c>
      <c r="B1427" s="31">
        <v>40.0501</v>
      </c>
      <c r="C1427" s="32" t="s">
        <v>12299</v>
      </c>
      <c r="D1427" s="31" t="s">
        <v>12274</v>
      </c>
      <c r="E1427" s="40" t="s">
        <v>12300</v>
      </c>
      <c r="F1427" s="38" t="s">
        <v>9089</v>
      </c>
      <c r="G1427" s="34" t="s">
        <v>9573</v>
      </c>
      <c r="I1427" s="44" t="s">
        <v>12298</v>
      </c>
      <c r="J1427" s="36" t="s">
        <v>1067</v>
      </c>
    </row>
    <row r="1428" spans="1:10" x14ac:dyDescent="0.25">
      <c r="A1428" s="31" t="s">
        <v>1068</v>
      </c>
      <c r="B1428" s="31">
        <v>40.050199999999997</v>
      </c>
      <c r="C1428" s="32" t="s">
        <v>12301</v>
      </c>
      <c r="D1428" s="31" t="s">
        <v>12274</v>
      </c>
      <c r="E1428" s="40" t="s">
        <v>12302</v>
      </c>
      <c r="F1428" s="38" t="s">
        <v>9089</v>
      </c>
      <c r="G1428" s="34" t="s">
        <v>9573</v>
      </c>
      <c r="I1428" s="44" t="s">
        <v>12298</v>
      </c>
      <c r="J1428" s="36" t="s">
        <v>1068</v>
      </c>
    </row>
    <row r="1429" spans="1:10" x14ac:dyDescent="0.25">
      <c r="A1429" s="31" t="s">
        <v>1069</v>
      </c>
      <c r="B1429" s="31">
        <v>40.0503</v>
      </c>
      <c r="C1429" s="32" t="s">
        <v>12303</v>
      </c>
      <c r="D1429" s="31" t="s">
        <v>12274</v>
      </c>
      <c r="E1429" s="40" t="s">
        <v>12304</v>
      </c>
      <c r="F1429" s="38" t="s">
        <v>9089</v>
      </c>
      <c r="G1429" s="34" t="s">
        <v>9573</v>
      </c>
      <c r="I1429" s="44" t="s">
        <v>12298</v>
      </c>
      <c r="J1429" s="36" t="s">
        <v>1069</v>
      </c>
    </row>
    <row r="1430" spans="1:10" x14ac:dyDescent="0.25">
      <c r="A1430" s="31" t="s">
        <v>1070</v>
      </c>
      <c r="B1430" s="31">
        <v>40.050400000000003</v>
      </c>
      <c r="C1430" s="32" t="s">
        <v>12305</v>
      </c>
      <c r="D1430" s="31" t="s">
        <v>12274</v>
      </c>
      <c r="E1430" s="40" t="s">
        <v>12306</v>
      </c>
      <c r="F1430" s="38" t="s">
        <v>9089</v>
      </c>
      <c r="G1430" s="34" t="s">
        <v>9573</v>
      </c>
      <c r="I1430" s="44" t="s">
        <v>12298</v>
      </c>
      <c r="J1430" s="36" t="s">
        <v>1070</v>
      </c>
    </row>
    <row r="1431" spans="1:10" x14ac:dyDescent="0.25">
      <c r="A1431" s="31" t="s">
        <v>1071</v>
      </c>
      <c r="B1431" s="31">
        <v>40.050600000000003</v>
      </c>
      <c r="C1431" s="32" t="s">
        <v>12307</v>
      </c>
      <c r="D1431" s="31" t="s">
        <v>12274</v>
      </c>
      <c r="E1431" s="40" t="s">
        <v>12308</v>
      </c>
      <c r="F1431" s="38" t="s">
        <v>9089</v>
      </c>
      <c r="G1431" s="34" t="s">
        <v>9573</v>
      </c>
      <c r="I1431" s="44" t="s">
        <v>12298</v>
      </c>
      <c r="J1431" s="36" t="s">
        <v>1071</v>
      </c>
    </row>
    <row r="1432" spans="1:10" x14ac:dyDescent="0.25">
      <c r="A1432" s="31" t="s">
        <v>1072</v>
      </c>
      <c r="B1432" s="31">
        <v>40.050699999999999</v>
      </c>
      <c r="C1432" s="32" t="s">
        <v>12309</v>
      </c>
      <c r="D1432" s="31" t="s">
        <v>12274</v>
      </c>
      <c r="E1432" s="40" t="s">
        <v>12310</v>
      </c>
      <c r="F1432" s="38" t="s">
        <v>9089</v>
      </c>
      <c r="G1432" s="34" t="s">
        <v>9573</v>
      </c>
      <c r="I1432" s="44" t="s">
        <v>12298</v>
      </c>
      <c r="J1432" s="36" t="s">
        <v>1072</v>
      </c>
    </row>
    <row r="1433" spans="1:10" x14ac:dyDescent="0.25">
      <c r="A1433" s="31" t="s">
        <v>1073</v>
      </c>
      <c r="B1433" s="31">
        <v>40.050800000000002</v>
      </c>
      <c r="C1433" s="32" t="s">
        <v>12311</v>
      </c>
      <c r="D1433" s="31" t="s">
        <v>12274</v>
      </c>
      <c r="E1433" s="40" t="s">
        <v>12312</v>
      </c>
      <c r="F1433" s="38" t="s">
        <v>9089</v>
      </c>
      <c r="G1433" s="34" t="s">
        <v>9573</v>
      </c>
      <c r="I1433" s="44" t="s">
        <v>12298</v>
      </c>
      <c r="J1433" s="36" t="s">
        <v>1073</v>
      </c>
    </row>
    <row r="1434" spans="1:10" x14ac:dyDescent="0.25">
      <c r="A1434" s="31" t="s">
        <v>1074</v>
      </c>
      <c r="B1434" s="31">
        <v>40.050899999999999</v>
      </c>
      <c r="C1434" s="32" t="s">
        <v>12313</v>
      </c>
      <c r="D1434" s="31" t="s">
        <v>12274</v>
      </c>
      <c r="E1434" s="40" t="s">
        <v>12314</v>
      </c>
      <c r="F1434" s="38" t="s">
        <v>9089</v>
      </c>
      <c r="G1434" s="34" t="s">
        <v>9573</v>
      </c>
      <c r="I1434" s="44" t="s">
        <v>12298</v>
      </c>
      <c r="J1434" s="36" t="s">
        <v>1074</v>
      </c>
    </row>
    <row r="1435" spans="1:10" x14ac:dyDescent="0.25">
      <c r="A1435" s="31" t="s">
        <v>1075</v>
      </c>
      <c r="B1435" s="31">
        <v>40.051000000000002</v>
      </c>
      <c r="C1435" s="32" t="s">
        <v>12315</v>
      </c>
      <c r="D1435" s="31" t="s">
        <v>12274</v>
      </c>
      <c r="E1435" s="40" t="s">
        <v>12316</v>
      </c>
      <c r="F1435" s="38" t="s">
        <v>9089</v>
      </c>
      <c r="G1435" s="34" t="s">
        <v>9573</v>
      </c>
      <c r="I1435" s="44" t="s">
        <v>12298</v>
      </c>
      <c r="J1435" s="36" t="s">
        <v>1075</v>
      </c>
    </row>
    <row r="1436" spans="1:10" x14ac:dyDescent="0.25">
      <c r="A1436" s="31" t="s">
        <v>1076</v>
      </c>
      <c r="B1436" s="31">
        <v>40.051099999999998</v>
      </c>
      <c r="C1436" s="32" t="s">
        <v>12317</v>
      </c>
      <c r="D1436" s="31" t="s">
        <v>12274</v>
      </c>
      <c r="E1436" s="40" t="s">
        <v>12318</v>
      </c>
      <c r="F1436" s="38" t="s">
        <v>9089</v>
      </c>
      <c r="G1436" s="34" t="s">
        <v>9573</v>
      </c>
      <c r="I1436" s="44" t="s">
        <v>12298</v>
      </c>
      <c r="J1436" s="36" t="s">
        <v>1076</v>
      </c>
    </row>
    <row r="1437" spans="1:10" x14ac:dyDescent="0.25">
      <c r="A1437" s="31" t="s">
        <v>2046</v>
      </c>
      <c r="B1437" s="31">
        <v>40.051200000000001</v>
      </c>
      <c r="C1437" s="32" t="s">
        <v>12319</v>
      </c>
      <c r="D1437" s="31" t="s">
        <v>12274</v>
      </c>
      <c r="E1437" s="40" t="s">
        <v>12320</v>
      </c>
      <c r="F1437" s="38" t="s">
        <v>9089</v>
      </c>
      <c r="G1437" s="34" t="s">
        <v>9573</v>
      </c>
      <c r="I1437" s="44" t="s">
        <v>12298</v>
      </c>
      <c r="J1437" s="36" t="s">
        <v>2046</v>
      </c>
    </row>
    <row r="1438" spans="1:10" x14ac:dyDescent="0.25">
      <c r="A1438" s="31" t="s">
        <v>1077</v>
      </c>
      <c r="B1438" s="31">
        <v>40.059899999999999</v>
      </c>
      <c r="C1438" s="32" t="s">
        <v>12321</v>
      </c>
      <c r="D1438" s="31" t="s">
        <v>12274</v>
      </c>
      <c r="E1438" s="40" t="s">
        <v>12322</v>
      </c>
      <c r="F1438" s="38" t="s">
        <v>9089</v>
      </c>
      <c r="G1438" s="34" t="s">
        <v>9573</v>
      </c>
      <c r="I1438" s="44" t="s">
        <v>12298</v>
      </c>
      <c r="J1438" s="36" t="s">
        <v>1077</v>
      </c>
    </row>
    <row r="1439" spans="1:10" x14ac:dyDescent="0.25">
      <c r="A1439" s="31" t="s">
        <v>1078</v>
      </c>
      <c r="B1439" s="31">
        <v>40.06</v>
      </c>
      <c r="C1439" s="32" t="s">
        <v>12323</v>
      </c>
      <c r="D1439" s="31" t="s">
        <v>12274</v>
      </c>
      <c r="E1439" s="40" t="s">
        <v>9574</v>
      </c>
      <c r="F1439" s="38" t="s">
        <v>9089</v>
      </c>
      <c r="G1439" s="34" t="s">
        <v>9574</v>
      </c>
      <c r="H1439" s="34" t="s">
        <v>9574</v>
      </c>
      <c r="I1439" s="44" t="s">
        <v>12323</v>
      </c>
      <c r="J1439" s="36" t="s">
        <v>1078</v>
      </c>
    </row>
    <row r="1440" spans="1:10" x14ac:dyDescent="0.25">
      <c r="A1440" s="31" t="s">
        <v>1079</v>
      </c>
      <c r="B1440" s="31">
        <v>40.060099999999998</v>
      </c>
      <c r="C1440" s="32" t="s">
        <v>12324</v>
      </c>
      <c r="D1440" s="31" t="s">
        <v>12274</v>
      </c>
      <c r="E1440" s="40" t="s">
        <v>12325</v>
      </c>
      <c r="F1440" s="38" t="s">
        <v>9089</v>
      </c>
      <c r="G1440" s="34" t="s">
        <v>9574</v>
      </c>
      <c r="I1440" s="44" t="s">
        <v>12323</v>
      </c>
      <c r="J1440" s="36" t="s">
        <v>1079</v>
      </c>
    </row>
    <row r="1441" spans="1:10" x14ac:dyDescent="0.25">
      <c r="A1441" s="31" t="s">
        <v>1080</v>
      </c>
      <c r="B1441" s="31">
        <v>40.060200000000002</v>
      </c>
      <c r="C1441" s="32" t="s">
        <v>12326</v>
      </c>
      <c r="D1441" s="31" t="s">
        <v>12274</v>
      </c>
      <c r="E1441" s="40" t="s">
        <v>12327</v>
      </c>
      <c r="F1441" s="38" t="s">
        <v>9089</v>
      </c>
      <c r="G1441" s="34" t="s">
        <v>9574</v>
      </c>
      <c r="I1441" s="44" t="s">
        <v>12323</v>
      </c>
      <c r="J1441" s="36" t="s">
        <v>1080</v>
      </c>
    </row>
    <row r="1442" spans="1:10" x14ac:dyDescent="0.25">
      <c r="A1442" s="31" t="s">
        <v>1081</v>
      </c>
      <c r="B1442" s="31">
        <v>40.060299999999998</v>
      </c>
      <c r="C1442" s="32" t="s">
        <v>12328</v>
      </c>
      <c r="D1442" s="31" t="s">
        <v>12274</v>
      </c>
      <c r="E1442" s="40" t="s">
        <v>12329</v>
      </c>
      <c r="F1442" s="38" t="s">
        <v>9089</v>
      </c>
      <c r="G1442" s="34" t="s">
        <v>9574</v>
      </c>
      <c r="I1442" s="44" t="s">
        <v>12323</v>
      </c>
      <c r="J1442" s="36" t="s">
        <v>1081</v>
      </c>
    </row>
    <row r="1443" spans="1:10" x14ac:dyDescent="0.25">
      <c r="A1443" s="31" t="s">
        <v>1082</v>
      </c>
      <c r="B1443" s="31">
        <v>40.060400000000001</v>
      </c>
      <c r="C1443" s="32" t="s">
        <v>12330</v>
      </c>
      <c r="D1443" s="31" t="s">
        <v>12274</v>
      </c>
      <c r="E1443" s="40" t="s">
        <v>12331</v>
      </c>
      <c r="F1443" s="38" t="s">
        <v>9089</v>
      </c>
      <c r="G1443" s="34" t="s">
        <v>9574</v>
      </c>
      <c r="I1443" s="44" t="s">
        <v>12323</v>
      </c>
      <c r="J1443" s="36" t="s">
        <v>1082</v>
      </c>
    </row>
    <row r="1444" spans="1:10" x14ac:dyDescent="0.25">
      <c r="A1444" s="31" t="s">
        <v>1083</v>
      </c>
      <c r="B1444" s="31">
        <v>40.060499999999998</v>
      </c>
      <c r="C1444" s="32" t="s">
        <v>12332</v>
      </c>
      <c r="D1444" s="31" t="s">
        <v>12274</v>
      </c>
      <c r="E1444" s="40" t="s">
        <v>12333</v>
      </c>
      <c r="F1444" s="38" t="s">
        <v>9089</v>
      </c>
      <c r="G1444" s="34" t="s">
        <v>9574</v>
      </c>
      <c r="I1444" s="44" t="s">
        <v>12323</v>
      </c>
      <c r="J1444" s="36" t="s">
        <v>1083</v>
      </c>
    </row>
    <row r="1445" spans="1:10" x14ac:dyDescent="0.25">
      <c r="A1445" s="31" t="s">
        <v>1084</v>
      </c>
      <c r="B1445" s="31">
        <v>40.060600000000001</v>
      </c>
      <c r="C1445" s="32" t="s">
        <v>12334</v>
      </c>
      <c r="D1445" s="31" t="s">
        <v>12274</v>
      </c>
      <c r="E1445" s="40" t="s">
        <v>12335</v>
      </c>
      <c r="F1445" s="38" t="s">
        <v>9089</v>
      </c>
      <c r="G1445" s="34" t="s">
        <v>9574</v>
      </c>
      <c r="I1445" s="44" t="s">
        <v>12323</v>
      </c>
      <c r="J1445" s="36" t="s">
        <v>1084</v>
      </c>
    </row>
    <row r="1446" spans="1:10" x14ac:dyDescent="0.25">
      <c r="A1446" s="31" t="s">
        <v>1085</v>
      </c>
      <c r="B1446" s="31">
        <v>40.060699999999997</v>
      </c>
      <c r="C1446" s="32" t="s">
        <v>12336</v>
      </c>
      <c r="D1446" s="31" t="s">
        <v>12274</v>
      </c>
      <c r="E1446" s="40" t="s">
        <v>12337</v>
      </c>
      <c r="F1446" s="38" t="s">
        <v>9089</v>
      </c>
      <c r="G1446" s="34" t="s">
        <v>9574</v>
      </c>
      <c r="I1446" s="44" t="s">
        <v>12323</v>
      </c>
      <c r="J1446" s="36" t="s">
        <v>1085</v>
      </c>
    </row>
    <row r="1447" spans="1:10" x14ac:dyDescent="0.25">
      <c r="A1447" s="31" t="s">
        <v>1086</v>
      </c>
      <c r="B1447" s="31">
        <v>40.069899999999997</v>
      </c>
      <c r="C1447" s="32" t="s">
        <v>12338</v>
      </c>
      <c r="D1447" s="31" t="s">
        <v>12274</v>
      </c>
      <c r="E1447" s="40" t="s">
        <v>12339</v>
      </c>
      <c r="F1447" s="38" t="s">
        <v>9089</v>
      </c>
      <c r="G1447" s="34" t="s">
        <v>9574</v>
      </c>
      <c r="I1447" s="44" t="s">
        <v>12323</v>
      </c>
      <c r="J1447" s="36" t="s">
        <v>1086</v>
      </c>
    </row>
    <row r="1448" spans="1:10" x14ac:dyDescent="0.25">
      <c r="A1448" s="31" t="s">
        <v>1087</v>
      </c>
      <c r="B1448" s="31">
        <v>40.08</v>
      </c>
      <c r="C1448" s="32" t="s">
        <v>12340</v>
      </c>
      <c r="D1448" s="31" t="s">
        <v>12274</v>
      </c>
      <c r="E1448" s="40" t="s">
        <v>9575</v>
      </c>
      <c r="F1448" s="38" t="s">
        <v>9089</v>
      </c>
      <c r="G1448" s="34" t="s">
        <v>9575</v>
      </c>
      <c r="H1448" s="34" t="s">
        <v>9575</v>
      </c>
      <c r="I1448" s="44" t="s">
        <v>12340</v>
      </c>
      <c r="J1448" s="36" t="s">
        <v>1087</v>
      </c>
    </row>
    <row r="1449" spans="1:10" x14ac:dyDescent="0.25">
      <c r="A1449" s="31" t="s">
        <v>1088</v>
      </c>
      <c r="B1449" s="31">
        <v>40.080100000000002</v>
      </c>
      <c r="C1449" s="32" t="s">
        <v>12341</v>
      </c>
      <c r="D1449" s="31" t="s">
        <v>12274</v>
      </c>
      <c r="E1449" s="40" t="s">
        <v>12342</v>
      </c>
      <c r="F1449" s="38" t="s">
        <v>9089</v>
      </c>
      <c r="G1449" s="34" t="s">
        <v>9575</v>
      </c>
      <c r="I1449" s="44" t="s">
        <v>12340</v>
      </c>
      <c r="J1449" s="36" t="s">
        <v>1088</v>
      </c>
    </row>
    <row r="1450" spans="1:10" x14ac:dyDescent="0.25">
      <c r="A1450" s="31" t="s">
        <v>1089</v>
      </c>
      <c r="B1450" s="31">
        <v>40.080199999999998</v>
      </c>
      <c r="C1450" s="32" t="s">
        <v>12343</v>
      </c>
      <c r="D1450" s="31" t="s">
        <v>12274</v>
      </c>
      <c r="E1450" s="40" t="s">
        <v>12344</v>
      </c>
      <c r="F1450" s="38" t="s">
        <v>9089</v>
      </c>
      <c r="G1450" s="34" t="s">
        <v>9575</v>
      </c>
      <c r="I1450" s="44" t="s">
        <v>12340</v>
      </c>
      <c r="J1450" s="36" t="s">
        <v>1089</v>
      </c>
    </row>
    <row r="1451" spans="1:10" x14ac:dyDescent="0.25">
      <c r="A1451" s="31" t="s">
        <v>1090</v>
      </c>
      <c r="B1451" s="31">
        <v>40.080399999999997</v>
      </c>
      <c r="C1451" s="32" t="s">
        <v>12345</v>
      </c>
      <c r="D1451" s="31" t="s">
        <v>12274</v>
      </c>
      <c r="E1451" s="40" t="s">
        <v>12346</v>
      </c>
      <c r="F1451" s="38" t="s">
        <v>9089</v>
      </c>
      <c r="G1451" s="34" t="s">
        <v>9575</v>
      </c>
      <c r="I1451" s="44" t="s">
        <v>12340</v>
      </c>
      <c r="J1451" s="36" t="s">
        <v>1090</v>
      </c>
    </row>
    <row r="1452" spans="1:10" x14ac:dyDescent="0.25">
      <c r="A1452" s="31" t="s">
        <v>1091</v>
      </c>
      <c r="B1452" s="31">
        <v>40.080500000000001</v>
      </c>
      <c r="C1452" s="32" t="s">
        <v>12347</v>
      </c>
      <c r="D1452" s="31" t="s">
        <v>12274</v>
      </c>
      <c r="E1452" s="40" t="s">
        <v>12348</v>
      </c>
      <c r="F1452" s="38" t="s">
        <v>9089</v>
      </c>
      <c r="G1452" s="34" t="s">
        <v>9575</v>
      </c>
      <c r="I1452" s="44" t="s">
        <v>12340</v>
      </c>
      <c r="J1452" s="36" t="s">
        <v>1091</v>
      </c>
    </row>
    <row r="1453" spans="1:10" x14ac:dyDescent="0.25">
      <c r="A1453" s="31" t="s">
        <v>1092</v>
      </c>
      <c r="B1453" s="31">
        <v>40.080599999999997</v>
      </c>
      <c r="C1453" s="32" t="s">
        <v>12349</v>
      </c>
      <c r="D1453" s="31" t="s">
        <v>12274</v>
      </c>
      <c r="E1453" s="40" t="s">
        <v>12350</v>
      </c>
      <c r="F1453" s="38" t="s">
        <v>9089</v>
      </c>
      <c r="G1453" s="34" t="s">
        <v>9575</v>
      </c>
      <c r="I1453" s="44" t="s">
        <v>12340</v>
      </c>
      <c r="J1453" s="36" t="s">
        <v>1092</v>
      </c>
    </row>
    <row r="1454" spans="1:10" x14ac:dyDescent="0.25">
      <c r="A1454" s="31" t="s">
        <v>1093</v>
      </c>
      <c r="B1454" s="31">
        <v>40.0807</v>
      </c>
      <c r="C1454" s="32" t="s">
        <v>12351</v>
      </c>
      <c r="D1454" s="31" t="s">
        <v>12274</v>
      </c>
      <c r="E1454" s="40" t="s">
        <v>12352</v>
      </c>
      <c r="F1454" s="38" t="s">
        <v>9089</v>
      </c>
      <c r="G1454" s="34" t="s">
        <v>9575</v>
      </c>
      <c r="I1454" s="44" t="s">
        <v>12340</v>
      </c>
      <c r="J1454" s="36" t="s">
        <v>1093</v>
      </c>
    </row>
    <row r="1455" spans="1:10" x14ac:dyDescent="0.25">
      <c r="A1455" s="31" t="s">
        <v>1094</v>
      </c>
      <c r="B1455" s="31">
        <v>40.080800000000004</v>
      </c>
      <c r="C1455" s="32" t="s">
        <v>12353</v>
      </c>
      <c r="D1455" s="31" t="s">
        <v>12274</v>
      </c>
      <c r="E1455" s="40" t="s">
        <v>12354</v>
      </c>
      <c r="F1455" s="38" t="s">
        <v>9089</v>
      </c>
      <c r="G1455" s="34" t="s">
        <v>9575</v>
      </c>
      <c r="I1455" s="44" t="s">
        <v>12340</v>
      </c>
      <c r="J1455" s="36" t="s">
        <v>1094</v>
      </c>
    </row>
    <row r="1456" spans="1:10" x14ac:dyDescent="0.25">
      <c r="A1456" s="31" t="s">
        <v>1095</v>
      </c>
      <c r="B1456" s="31">
        <v>40.0809</v>
      </c>
      <c r="C1456" s="32" t="s">
        <v>12355</v>
      </c>
      <c r="D1456" s="31" t="s">
        <v>12274</v>
      </c>
      <c r="E1456" s="40" t="s">
        <v>12356</v>
      </c>
      <c r="F1456" s="38" t="s">
        <v>9089</v>
      </c>
      <c r="G1456" s="34" t="s">
        <v>9575</v>
      </c>
      <c r="I1456" s="44" t="s">
        <v>12340</v>
      </c>
      <c r="J1456" s="36" t="s">
        <v>1095</v>
      </c>
    </row>
    <row r="1457" spans="1:10" x14ac:dyDescent="0.25">
      <c r="A1457" s="31" t="s">
        <v>1096</v>
      </c>
      <c r="B1457" s="31">
        <v>40.081000000000003</v>
      </c>
      <c r="C1457" s="32" t="s">
        <v>12357</v>
      </c>
      <c r="D1457" s="31" t="s">
        <v>12274</v>
      </c>
      <c r="E1457" s="40" t="s">
        <v>12358</v>
      </c>
      <c r="F1457" s="38" t="s">
        <v>9089</v>
      </c>
      <c r="G1457" s="34" t="s">
        <v>9575</v>
      </c>
      <c r="I1457" s="44" t="s">
        <v>12340</v>
      </c>
      <c r="J1457" s="36" t="s">
        <v>1096</v>
      </c>
    </row>
    <row r="1458" spans="1:10" x14ac:dyDescent="0.25">
      <c r="A1458" s="31" t="s">
        <v>1097</v>
      </c>
      <c r="B1458" s="31">
        <v>40.0899</v>
      </c>
      <c r="C1458" s="32" t="s">
        <v>12359</v>
      </c>
      <c r="D1458" s="31" t="s">
        <v>12274</v>
      </c>
      <c r="E1458" s="40" t="s">
        <v>12360</v>
      </c>
      <c r="F1458" s="38" t="s">
        <v>9089</v>
      </c>
      <c r="G1458" s="34" t="s">
        <v>9575</v>
      </c>
      <c r="I1458" s="44" t="s">
        <v>12340</v>
      </c>
      <c r="J1458" s="36" t="s">
        <v>1097</v>
      </c>
    </row>
    <row r="1459" spans="1:10" x14ac:dyDescent="0.25">
      <c r="A1459" s="31" t="s">
        <v>1098</v>
      </c>
      <c r="B1459" s="31">
        <v>40.1</v>
      </c>
      <c r="C1459" s="32" t="s">
        <v>12361</v>
      </c>
      <c r="D1459" s="31" t="s">
        <v>12274</v>
      </c>
      <c r="E1459" s="40" t="s">
        <v>9576</v>
      </c>
      <c r="F1459" s="38" t="s">
        <v>9089</v>
      </c>
      <c r="G1459" s="34" t="s">
        <v>9576</v>
      </c>
      <c r="H1459" s="34" t="s">
        <v>9576</v>
      </c>
      <c r="I1459" s="44" t="s">
        <v>12361</v>
      </c>
      <c r="J1459" s="36" t="s">
        <v>1098</v>
      </c>
    </row>
    <row r="1460" spans="1:10" x14ac:dyDescent="0.25">
      <c r="A1460" s="31" t="s">
        <v>481</v>
      </c>
      <c r="B1460" s="31">
        <v>40.100099999999998</v>
      </c>
      <c r="C1460" s="32" t="s">
        <v>12362</v>
      </c>
      <c r="D1460" s="31" t="s">
        <v>12274</v>
      </c>
      <c r="E1460" s="40" t="s">
        <v>12363</v>
      </c>
      <c r="F1460" s="38" t="s">
        <v>9089</v>
      </c>
      <c r="G1460" s="34" t="s">
        <v>9576</v>
      </c>
      <c r="I1460" s="44" t="s">
        <v>12361</v>
      </c>
      <c r="J1460" s="36" t="s">
        <v>481</v>
      </c>
    </row>
    <row r="1461" spans="1:10" x14ac:dyDescent="0.25">
      <c r="A1461" s="31" t="s">
        <v>1099</v>
      </c>
      <c r="B1461" s="31">
        <v>40.100200000000001</v>
      </c>
      <c r="C1461" s="32" t="s">
        <v>12364</v>
      </c>
      <c r="D1461" s="31" t="s">
        <v>12274</v>
      </c>
      <c r="E1461" s="40" t="s">
        <v>12365</v>
      </c>
      <c r="F1461" s="38" t="s">
        <v>9089</v>
      </c>
      <c r="G1461" s="34" t="s">
        <v>9576</v>
      </c>
      <c r="I1461" s="44" t="s">
        <v>12361</v>
      </c>
      <c r="J1461" s="36" t="s">
        <v>1099</v>
      </c>
    </row>
    <row r="1462" spans="1:10" x14ac:dyDescent="0.25">
      <c r="A1462" s="31" t="s">
        <v>1100</v>
      </c>
      <c r="B1462" s="31">
        <v>40.109900000000003</v>
      </c>
      <c r="C1462" s="32" t="s">
        <v>12366</v>
      </c>
      <c r="D1462" s="31" t="s">
        <v>12274</v>
      </c>
      <c r="E1462" s="40" t="s">
        <v>12367</v>
      </c>
      <c r="F1462" s="38" t="s">
        <v>9089</v>
      </c>
      <c r="G1462" s="34" t="s">
        <v>9576</v>
      </c>
      <c r="I1462" s="44" t="s">
        <v>12361</v>
      </c>
      <c r="J1462" s="36" t="s">
        <v>1100</v>
      </c>
    </row>
    <row r="1463" spans="1:10" x14ac:dyDescent="0.25">
      <c r="A1463" s="31" t="s">
        <v>2047</v>
      </c>
      <c r="B1463" s="31">
        <v>40.11</v>
      </c>
      <c r="C1463" s="32" t="s">
        <v>12368</v>
      </c>
      <c r="D1463" s="31" t="s">
        <v>12274</v>
      </c>
      <c r="E1463" s="40" t="s">
        <v>9577</v>
      </c>
      <c r="F1463" s="38" t="s">
        <v>9089</v>
      </c>
      <c r="G1463" s="34" t="s">
        <v>9577</v>
      </c>
      <c r="H1463" s="34" t="s">
        <v>9577</v>
      </c>
      <c r="I1463" s="35" t="s">
        <v>12368</v>
      </c>
      <c r="J1463" s="36" t="s">
        <v>2047</v>
      </c>
    </row>
    <row r="1464" spans="1:10" x14ac:dyDescent="0.25">
      <c r="A1464" s="31" t="s">
        <v>2047</v>
      </c>
      <c r="B1464" s="31">
        <v>40.110100000000003</v>
      </c>
      <c r="C1464" s="32" t="s">
        <v>12369</v>
      </c>
      <c r="D1464" s="31" t="s">
        <v>12274</v>
      </c>
      <c r="E1464" s="40" t="s">
        <v>12370</v>
      </c>
      <c r="F1464" s="38" t="s">
        <v>9089</v>
      </c>
      <c r="G1464" s="34" t="s">
        <v>9577</v>
      </c>
      <c r="I1464" s="35" t="s">
        <v>12368</v>
      </c>
      <c r="J1464" s="36" t="s">
        <v>2047</v>
      </c>
    </row>
    <row r="1465" spans="1:10" x14ac:dyDescent="0.25">
      <c r="A1465" s="31" t="s">
        <v>1101</v>
      </c>
      <c r="B1465" s="31">
        <v>40.99</v>
      </c>
      <c r="C1465" s="32" t="s">
        <v>12371</v>
      </c>
      <c r="D1465" s="31" t="s">
        <v>12274</v>
      </c>
      <c r="E1465" s="40" t="s">
        <v>9578</v>
      </c>
      <c r="F1465" s="38" t="s">
        <v>9089</v>
      </c>
      <c r="G1465" s="34" t="s">
        <v>9578</v>
      </c>
      <c r="H1465" s="34" t="s">
        <v>9578</v>
      </c>
      <c r="I1465" s="35" t="s">
        <v>12371</v>
      </c>
      <c r="J1465" s="36" t="s">
        <v>1101</v>
      </c>
    </row>
    <row r="1466" spans="1:10" x14ac:dyDescent="0.25">
      <c r="A1466" s="31" t="s">
        <v>1101</v>
      </c>
      <c r="B1466" s="31">
        <v>40.999899999999997</v>
      </c>
      <c r="C1466" s="32" t="s">
        <v>12372</v>
      </c>
      <c r="D1466" s="31" t="s">
        <v>12274</v>
      </c>
      <c r="E1466" s="40" t="s">
        <v>12373</v>
      </c>
      <c r="F1466" s="38" t="s">
        <v>9089</v>
      </c>
      <c r="G1466" s="34" t="s">
        <v>9578</v>
      </c>
      <c r="I1466" s="35" t="s">
        <v>12371</v>
      </c>
      <c r="J1466" s="36" t="s">
        <v>1101</v>
      </c>
    </row>
    <row r="1467" spans="1:10" x14ac:dyDescent="0.25">
      <c r="A1467" s="31" t="s">
        <v>1103</v>
      </c>
      <c r="B1467" s="31">
        <v>41</v>
      </c>
      <c r="C1467" s="32" t="s">
        <v>12374</v>
      </c>
      <c r="D1467" s="31" t="s">
        <v>12375</v>
      </c>
      <c r="E1467" s="40" t="s">
        <v>9579</v>
      </c>
      <c r="F1467" s="38" t="s">
        <v>9099</v>
      </c>
      <c r="G1467" s="34" t="s">
        <v>9579</v>
      </c>
      <c r="H1467" s="34" t="s">
        <v>9579</v>
      </c>
      <c r="I1467" s="35" t="s">
        <v>12374</v>
      </c>
      <c r="J1467" s="36" t="s">
        <v>1103</v>
      </c>
    </row>
    <row r="1468" spans="1:10" x14ac:dyDescent="0.25">
      <c r="A1468" s="31" t="s">
        <v>1103</v>
      </c>
      <c r="B1468" s="31">
        <v>41</v>
      </c>
      <c r="C1468" s="32" t="s">
        <v>12376</v>
      </c>
      <c r="D1468" s="31" t="s">
        <v>12375</v>
      </c>
      <c r="E1468" s="40" t="s">
        <v>12377</v>
      </c>
      <c r="F1468" s="38" t="s">
        <v>9099</v>
      </c>
      <c r="G1468" s="34" t="s">
        <v>9579</v>
      </c>
      <c r="I1468" s="35" t="s">
        <v>12374</v>
      </c>
      <c r="J1468" s="36" t="s">
        <v>1103</v>
      </c>
    </row>
    <row r="1469" spans="1:10" x14ac:dyDescent="0.25">
      <c r="A1469" s="31" t="s">
        <v>1102</v>
      </c>
      <c r="B1469" s="31">
        <v>41</v>
      </c>
      <c r="C1469" s="32" t="s">
        <v>12375</v>
      </c>
      <c r="D1469" s="31" t="s">
        <v>12375</v>
      </c>
      <c r="E1469" s="40" t="s">
        <v>9580</v>
      </c>
      <c r="F1469" s="38" t="s">
        <v>9099</v>
      </c>
      <c r="G1469" s="34" t="s">
        <v>9580</v>
      </c>
      <c r="H1469" s="34" t="s">
        <v>9580</v>
      </c>
      <c r="I1469" s="47" t="s">
        <v>12375</v>
      </c>
      <c r="J1469" s="36" t="s">
        <v>1102</v>
      </c>
    </row>
    <row r="1470" spans="1:10" x14ac:dyDescent="0.25">
      <c r="A1470" s="31" t="s">
        <v>2048</v>
      </c>
      <c r="B1470" s="31">
        <v>41.01</v>
      </c>
      <c r="C1470" s="32" t="s">
        <v>12378</v>
      </c>
      <c r="D1470" s="31" t="s">
        <v>12375</v>
      </c>
      <c r="E1470" s="40" t="s">
        <v>9581</v>
      </c>
      <c r="F1470" s="38" t="s">
        <v>9099</v>
      </c>
      <c r="G1470" s="34" t="s">
        <v>9581</v>
      </c>
      <c r="H1470" s="34" t="s">
        <v>9581</v>
      </c>
      <c r="I1470" s="35" t="s">
        <v>12378</v>
      </c>
      <c r="J1470" s="36" t="s">
        <v>2048</v>
      </c>
    </row>
    <row r="1471" spans="1:10" x14ac:dyDescent="0.25">
      <c r="A1471" s="31" t="s">
        <v>2049</v>
      </c>
      <c r="B1471" s="31">
        <v>41.010100000000001</v>
      </c>
      <c r="C1471" s="32" t="s">
        <v>12379</v>
      </c>
      <c r="D1471" s="31" t="s">
        <v>12375</v>
      </c>
      <c r="E1471" s="40" t="s">
        <v>12380</v>
      </c>
      <c r="F1471" s="38" t="s">
        <v>9099</v>
      </c>
      <c r="G1471" s="34" t="s">
        <v>9581</v>
      </c>
      <c r="I1471" s="35" t="s">
        <v>12378</v>
      </c>
      <c r="J1471" s="36" t="s">
        <v>2049</v>
      </c>
    </row>
    <row r="1472" spans="1:10" x14ac:dyDescent="0.25">
      <c r="A1472" s="31" t="s">
        <v>1104</v>
      </c>
      <c r="B1472" s="31">
        <v>41.02</v>
      </c>
      <c r="C1472" s="32" t="s">
        <v>12381</v>
      </c>
      <c r="D1472" s="31" t="s">
        <v>12375</v>
      </c>
      <c r="E1472" s="40" t="s">
        <v>9582</v>
      </c>
      <c r="F1472" s="38" t="s">
        <v>9099</v>
      </c>
      <c r="G1472" s="34" t="s">
        <v>9582</v>
      </c>
      <c r="H1472" s="34" t="s">
        <v>9582</v>
      </c>
      <c r="I1472" s="35" t="s">
        <v>12381</v>
      </c>
      <c r="J1472" s="36" t="s">
        <v>1104</v>
      </c>
    </row>
    <row r="1473" spans="1:10" x14ac:dyDescent="0.25">
      <c r="A1473" s="31" t="s">
        <v>1105</v>
      </c>
      <c r="B1473" s="31">
        <v>41.020400000000002</v>
      </c>
      <c r="C1473" s="32" t="s">
        <v>12382</v>
      </c>
      <c r="D1473" s="31" t="s">
        <v>12375</v>
      </c>
      <c r="E1473" s="40" t="s">
        <v>12383</v>
      </c>
      <c r="F1473" s="38" t="s">
        <v>9099</v>
      </c>
      <c r="G1473" s="34" t="s">
        <v>9582</v>
      </c>
      <c r="I1473" s="35" t="s">
        <v>12381</v>
      </c>
      <c r="J1473" s="36" t="s">
        <v>1105</v>
      </c>
    </row>
    <row r="1474" spans="1:10" x14ac:dyDescent="0.25">
      <c r="A1474" s="31" t="s">
        <v>1106</v>
      </c>
      <c r="B1474" s="31">
        <v>41.020499999999998</v>
      </c>
      <c r="C1474" s="32" t="s">
        <v>12384</v>
      </c>
      <c r="D1474" s="31" t="s">
        <v>12375</v>
      </c>
      <c r="E1474" s="40" t="s">
        <v>12385</v>
      </c>
      <c r="F1474" s="38" t="s">
        <v>9099</v>
      </c>
      <c r="G1474" s="34" t="s">
        <v>9582</v>
      </c>
      <c r="I1474" s="35" t="s">
        <v>12381</v>
      </c>
      <c r="J1474" s="36" t="s">
        <v>1106</v>
      </c>
    </row>
    <row r="1475" spans="1:10" x14ac:dyDescent="0.25">
      <c r="A1475" s="31" t="s">
        <v>1107</v>
      </c>
      <c r="B1475" s="31">
        <v>41.029899999999998</v>
      </c>
      <c r="C1475" s="32" t="s">
        <v>12386</v>
      </c>
      <c r="D1475" s="31" t="s">
        <v>12375</v>
      </c>
      <c r="E1475" s="40" t="s">
        <v>12387</v>
      </c>
      <c r="F1475" s="38" t="s">
        <v>9099</v>
      </c>
      <c r="G1475" s="34" t="s">
        <v>9582</v>
      </c>
      <c r="I1475" s="35" t="s">
        <v>12381</v>
      </c>
      <c r="J1475" s="36" t="s">
        <v>1107</v>
      </c>
    </row>
    <row r="1476" spans="1:10" x14ac:dyDescent="0.25">
      <c r="A1476" s="31" t="s">
        <v>1108</v>
      </c>
      <c r="B1476" s="31">
        <v>41.03</v>
      </c>
      <c r="C1476" s="32" t="s">
        <v>12388</v>
      </c>
      <c r="D1476" s="31" t="s">
        <v>12375</v>
      </c>
      <c r="E1476" s="40" t="s">
        <v>9583</v>
      </c>
      <c r="F1476" s="38" t="s">
        <v>9099</v>
      </c>
      <c r="G1476" s="34" t="s">
        <v>9583</v>
      </c>
      <c r="H1476" s="34" t="s">
        <v>9583</v>
      </c>
      <c r="I1476" s="35" t="s">
        <v>12388</v>
      </c>
      <c r="J1476" s="36" t="s">
        <v>1108</v>
      </c>
    </row>
    <row r="1477" spans="1:10" x14ac:dyDescent="0.25">
      <c r="A1477" s="31" t="s">
        <v>1109</v>
      </c>
      <c r="B1477" s="31">
        <v>41.030099999999997</v>
      </c>
      <c r="C1477" s="32" t="s">
        <v>12389</v>
      </c>
      <c r="D1477" s="31" t="s">
        <v>12375</v>
      </c>
      <c r="E1477" s="40" t="s">
        <v>12390</v>
      </c>
      <c r="F1477" s="38" t="s">
        <v>9099</v>
      </c>
      <c r="G1477" s="34" t="s">
        <v>9583</v>
      </c>
      <c r="I1477" s="35" t="s">
        <v>12388</v>
      </c>
      <c r="J1477" s="36" t="s">
        <v>1109</v>
      </c>
    </row>
    <row r="1478" spans="1:10" x14ac:dyDescent="0.25">
      <c r="A1478" s="31" t="s">
        <v>1110</v>
      </c>
      <c r="B1478" s="31">
        <v>41.030299999999997</v>
      </c>
      <c r="C1478" s="32" t="s">
        <v>12391</v>
      </c>
      <c r="D1478" s="31" t="s">
        <v>12375</v>
      </c>
      <c r="E1478" s="40" t="s">
        <v>12392</v>
      </c>
      <c r="F1478" s="38" t="s">
        <v>9099</v>
      </c>
      <c r="G1478" s="34" t="s">
        <v>9583</v>
      </c>
      <c r="I1478" s="35" t="s">
        <v>12388</v>
      </c>
      <c r="J1478" s="36" t="s">
        <v>1110</v>
      </c>
    </row>
    <row r="1479" spans="1:10" x14ac:dyDescent="0.25">
      <c r="A1479" s="31" t="s">
        <v>1111</v>
      </c>
      <c r="B1479" s="31">
        <v>41.039900000000003</v>
      </c>
      <c r="C1479" s="32" t="s">
        <v>12393</v>
      </c>
      <c r="D1479" s="31" t="s">
        <v>12375</v>
      </c>
      <c r="E1479" s="40" t="s">
        <v>12394</v>
      </c>
      <c r="F1479" s="38" t="s">
        <v>9099</v>
      </c>
      <c r="G1479" s="34" t="s">
        <v>9583</v>
      </c>
      <c r="I1479" s="35" t="s">
        <v>12388</v>
      </c>
      <c r="J1479" s="36" t="s">
        <v>1111</v>
      </c>
    </row>
    <row r="1480" spans="1:10" x14ac:dyDescent="0.25">
      <c r="A1480" s="31" t="s">
        <v>1112</v>
      </c>
      <c r="B1480" s="31">
        <v>41.99</v>
      </c>
      <c r="C1480" s="32" t="s">
        <v>12395</v>
      </c>
      <c r="D1480" s="31" t="s">
        <v>12375</v>
      </c>
      <c r="E1480" s="40" t="s">
        <v>9584</v>
      </c>
      <c r="F1480" s="38" t="s">
        <v>9099</v>
      </c>
      <c r="G1480" s="34" t="s">
        <v>9584</v>
      </c>
      <c r="H1480" s="34" t="s">
        <v>9584</v>
      </c>
      <c r="I1480" s="35" t="s">
        <v>12395</v>
      </c>
      <c r="J1480" s="36" t="s">
        <v>1112</v>
      </c>
    </row>
    <row r="1481" spans="1:10" x14ac:dyDescent="0.25">
      <c r="A1481" s="31" t="s">
        <v>1112</v>
      </c>
      <c r="B1481" s="31">
        <v>41.999899999999997</v>
      </c>
      <c r="C1481" s="32" t="s">
        <v>12396</v>
      </c>
      <c r="D1481" s="31" t="s">
        <v>12375</v>
      </c>
      <c r="E1481" s="40" t="s">
        <v>12397</v>
      </c>
      <c r="F1481" s="38" t="s">
        <v>9099</v>
      </c>
      <c r="G1481" s="34" t="s">
        <v>9584</v>
      </c>
      <c r="I1481" s="35" t="s">
        <v>12395</v>
      </c>
      <c r="J1481" s="36" t="s">
        <v>1112</v>
      </c>
    </row>
    <row r="1482" spans="1:10" x14ac:dyDescent="0.25">
      <c r="A1482" s="31" t="s">
        <v>1113</v>
      </c>
      <c r="B1482" s="31">
        <v>42</v>
      </c>
      <c r="C1482" s="32" t="s">
        <v>12398</v>
      </c>
      <c r="D1482" s="31" t="s">
        <v>12398</v>
      </c>
      <c r="E1482" s="40" t="s">
        <v>9585</v>
      </c>
      <c r="F1482" s="38" t="s">
        <v>9102</v>
      </c>
      <c r="G1482" s="34" t="s">
        <v>9585</v>
      </c>
      <c r="H1482" s="34" t="s">
        <v>9585</v>
      </c>
      <c r="I1482" s="45" t="s">
        <v>12398</v>
      </c>
      <c r="J1482" s="36" t="s">
        <v>1113</v>
      </c>
    </row>
    <row r="1483" spans="1:10" x14ac:dyDescent="0.25">
      <c r="A1483" s="31" t="s">
        <v>1114</v>
      </c>
      <c r="B1483" s="31">
        <v>42.01</v>
      </c>
      <c r="C1483" s="32" t="s">
        <v>12399</v>
      </c>
      <c r="D1483" s="31" t="s">
        <v>12398</v>
      </c>
      <c r="E1483" s="40" t="s">
        <v>9586</v>
      </c>
      <c r="F1483" s="38" t="s">
        <v>9102</v>
      </c>
      <c r="G1483" s="34" t="s">
        <v>9586</v>
      </c>
      <c r="H1483" s="34" t="s">
        <v>9586</v>
      </c>
      <c r="I1483" s="44" t="s">
        <v>12399</v>
      </c>
      <c r="J1483" s="36" t="s">
        <v>1114</v>
      </c>
    </row>
    <row r="1484" spans="1:10" x14ac:dyDescent="0.25">
      <c r="A1484" s="31" t="s">
        <v>1114</v>
      </c>
      <c r="B1484" s="31">
        <v>42.010100000000001</v>
      </c>
      <c r="C1484" s="32" t="s">
        <v>12400</v>
      </c>
      <c r="D1484" s="31" t="s">
        <v>12398</v>
      </c>
      <c r="E1484" s="40" t="s">
        <v>12401</v>
      </c>
      <c r="F1484" s="38" t="s">
        <v>9102</v>
      </c>
      <c r="G1484" s="34" t="s">
        <v>9586</v>
      </c>
      <c r="I1484" s="44" t="s">
        <v>12399</v>
      </c>
      <c r="J1484" s="36" t="s">
        <v>1114</v>
      </c>
    </row>
    <row r="1485" spans="1:10" x14ac:dyDescent="0.25">
      <c r="A1485" s="31" t="s">
        <v>1134</v>
      </c>
      <c r="B1485" s="31">
        <v>42.27</v>
      </c>
      <c r="C1485" s="32" t="s">
        <v>12402</v>
      </c>
      <c r="D1485" s="31" t="s">
        <v>12398</v>
      </c>
      <c r="E1485" s="40" t="s">
        <v>9587</v>
      </c>
      <c r="F1485" s="38" t="s">
        <v>9102</v>
      </c>
      <c r="G1485" s="34" t="s">
        <v>9587</v>
      </c>
      <c r="H1485" s="34" t="s">
        <v>9587</v>
      </c>
      <c r="I1485" s="44" t="s">
        <v>12402</v>
      </c>
      <c r="J1485" s="36" t="s">
        <v>1134</v>
      </c>
    </row>
    <row r="1486" spans="1:10" x14ac:dyDescent="0.25">
      <c r="A1486" s="31" t="s">
        <v>1116</v>
      </c>
      <c r="B1486" s="31">
        <v>42.270099999999999</v>
      </c>
      <c r="C1486" s="32" t="s">
        <v>12403</v>
      </c>
      <c r="D1486" s="31" t="s">
        <v>12398</v>
      </c>
      <c r="E1486" s="40" t="s">
        <v>12404</v>
      </c>
      <c r="F1486" s="38" t="s">
        <v>9102</v>
      </c>
      <c r="G1486" s="34" t="s">
        <v>9587</v>
      </c>
      <c r="I1486" s="44" t="s">
        <v>12402</v>
      </c>
      <c r="J1486" s="36" t="s">
        <v>1116</v>
      </c>
    </row>
    <row r="1487" spans="1:10" x14ac:dyDescent="0.25">
      <c r="A1487" s="31" t="s">
        <v>1118</v>
      </c>
      <c r="B1487" s="31">
        <v>42.270200000000003</v>
      </c>
      <c r="C1487" s="32" t="s">
        <v>12405</v>
      </c>
      <c r="D1487" s="31" t="s">
        <v>12398</v>
      </c>
      <c r="E1487" s="40" t="s">
        <v>12406</v>
      </c>
      <c r="F1487" s="38" t="s">
        <v>9102</v>
      </c>
      <c r="G1487" s="34" t="s">
        <v>9587</v>
      </c>
      <c r="I1487" s="44" t="s">
        <v>12402</v>
      </c>
      <c r="J1487" s="36" t="s">
        <v>1118</v>
      </c>
    </row>
    <row r="1488" spans="1:10" x14ac:dyDescent="0.25">
      <c r="A1488" s="31" t="s">
        <v>1120</v>
      </c>
      <c r="B1488" s="31">
        <v>42.270299999999999</v>
      </c>
      <c r="C1488" s="32" t="s">
        <v>12407</v>
      </c>
      <c r="D1488" s="31" t="s">
        <v>12398</v>
      </c>
      <c r="E1488" s="40" t="s">
        <v>12408</v>
      </c>
      <c r="F1488" s="38" t="s">
        <v>9102</v>
      </c>
      <c r="G1488" s="34" t="s">
        <v>9587</v>
      </c>
      <c r="I1488" s="44" t="s">
        <v>12402</v>
      </c>
      <c r="J1488" s="36" t="s">
        <v>1120</v>
      </c>
    </row>
    <row r="1489" spans="1:10" x14ac:dyDescent="0.25">
      <c r="A1489" s="31" t="s">
        <v>1121</v>
      </c>
      <c r="B1489" s="31">
        <v>42.270400000000002</v>
      </c>
      <c r="C1489" s="32" t="s">
        <v>12409</v>
      </c>
      <c r="D1489" s="31" t="s">
        <v>12398</v>
      </c>
      <c r="E1489" s="40" t="s">
        <v>12410</v>
      </c>
      <c r="F1489" s="38" t="s">
        <v>9102</v>
      </c>
      <c r="G1489" s="34" t="s">
        <v>9587</v>
      </c>
      <c r="I1489" s="44" t="s">
        <v>12402</v>
      </c>
      <c r="J1489" s="36" t="s">
        <v>1121</v>
      </c>
    </row>
    <row r="1490" spans="1:10" x14ac:dyDescent="0.25">
      <c r="A1490" s="31" t="s">
        <v>1123</v>
      </c>
      <c r="B1490" s="31">
        <v>42.270499999999998</v>
      </c>
      <c r="C1490" s="32" t="s">
        <v>12411</v>
      </c>
      <c r="D1490" s="31" t="s">
        <v>12398</v>
      </c>
      <c r="E1490" s="40" t="s">
        <v>12412</v>
      </c>
      <c r="F1490" s="38" t="s">
        <v>9102</v>
      </c>
      <c r="G1490" s="34" t="s">
        <v>9587</v>
      </c>
      <c r="I1490" s="44" t="s">
        <v>12402</v>
      </c>
      <c r="J1490" s="36" t="s">
        <v>1123</v>
      </c>
    </row>
    <row r="1491" spans="1:10" x14ac:dyDescent="0.25">
      <c r="A1491" s="31" t="s">
        <v>2050</v>
      </c>
      <c r="B1491" s="31">
        <v>42.270600000000002</v>
      </c>
      <c r="C1491" s="32" t="s">
        <v>12413</v>
      </c>
      <c r="D1491" s="31" t="s">
        <v>12398</v>
      </c>
      <c r="E1491" s="40" t="s">
        <v>12414</v>
      </c>
      <c r="F1491" s="38" t="s">
        <v>9102</v>
      </c>
      <c r="G1491" s="34" t="s">
        <v>9587</v>
      </c>
      <c r="I1491" s="44" t="s">
        <v>12402</v>
      </c>
      <c r="J1491" s="36" t="s">
        <v>2050</v>
      </c>
    </row>
    <row r="1492" spans="1:10" x14ac:dyDescent="0.25">
      <c r="A1492" s="31" t="s">
        <v>1124</v>
      </c>
      <c r="B1492" s="31">
        <v>42.270699999999998</v>
      </c>
      <c r="C1492" s="32" t="s">
        <v>12415</v>
      </c>
      <c r="D1492" s="31" t="s">
        <v>12398</v>
      </c>
      <c r="E1492" s="40" t="s">
        <v>12416</v>
      </c>
      <c r="F1492" s="38" t="s">
        <v>9102</v>
      </c>
      <c r="G1492" s="34" t="s">
        <v>9587</v>
      </c>
      <c r="I1492" s="44" t="s">
        <v>12402</v>
      </c>
      <c r="J1492" s="36" t="s">
        <v>1124</v>
      </c>
    </row>
    <row r="1493" spans="1:10" x14ac:dyDescent="0.25">
      <c r="A1493" s="31" t="s">
        <v>1127</v>
      </c>
      <c r="B1493" s="31">
        <v>42.270800000000001</v>
      </c>
      <c r="C1493" s="32" t="s">
        <v>12417</v>
      </c>
      <c r="D1493" s="31" t="s">
        <v>12398</v>
      </c>
      <c r="E1493" s="40" t="s">
        <v>12418</v>
      </c>
      <c r="F1493" s="38" t="s">
        <v>9102</v>
      </c>
      <c r="G1493" s="34" t="s">
        <v>9587</v>
      </c>
      <c r="I1493" s="44" t="s">
        <v>12402</v>
      </c>
      <c r="J1493" s="36" t="s">
        <v>1127</v>
      </c>
    </row>
    <row r="1494" spans="1:10" x14ac:dyDescent="0.25">
      <c r="A1494" s="31" t="s">
        <v>1131</v>
      </c>
      <c r="B1494" s="31">
        <v>42.270899999999997</v>
      </c>
      <c r="C1494" s="32" t="s">
        <v>12419</v>
      </c>
      <c r="D1494" s="31" t="s">
        <v>12398</v>
      </c>
      <c r="E1494" s="40" t="s">
        <v>12420</v>
      </c>
      <c r="F1494" s="38" t="s">
        <v>9102</v>
      </c>
      <c r="G1494" s="34" t="s">
        <v>9587</v>
      </c>
      <c r="I1494" s="44" t="s">
        <v>12402</v>
      </c>
      <c r="J1494" s="36" t="s">
        <v>1131</v>
      </c>
    </row>
    <row r="1495" spans="1:10" x14ac:dyDescent="0.25">
      <c r="A1495" s="31" t="s">
        <v>2051</v>
      </c>
      <c r="B1495" s="31">
        <v>42.271000000000001</v>
      </c>
      <c r="C1495" s="32" t="s">
        <v>12421</v>
      </c>
      <c r="D1495" s="31" t="s">
        <v>12398</v>
      </c>
      <c r="E1495" s="40" t="s">
        <v>12422</v>
      </c>
      <c r="F1495" s="38" t="s">
        <v>9102</v>
      </c>
      <c r="G1495" s="34" t="s">
        <v>9587</v>
      </c>
      <c r="I1495" s="44" t="s">
        <v>12402</v>
      </c>
      <c r="J1495" s="36" t="s">
        <v>2051</v>
      </c>
    </row>
    <row r="1496" spans="1:10" x14ac:dyDescent="0.25">
      <c r="A1496" s="31" t="s">
        <v>1135</v>
      </c>
      <c r="B1496" s="31">
        <v>42.279899999999998</v>
      </c>
      <c r="C1496" s="32" t="s">
        <v>12423</v>
      </c>
      <c r="D1496" s="31" t="s">
        <v>12398</v>
      </c>
      <c r="E1496" s="40" t="s">
        <v>12424</v>
      </c>
      <c r="F1496" s="38" t="s">
        <v>9102</v>
      </c>
      <c r="G1496" s="34" t="s">
        <v>9587</v>
      </c>
      <c r="I1496" s="44" t="s">
        <v>12402</v>
      </c>
      <c r="J1496" s="36" t="s">
        <v>1135</v>
      </c>
    </row>
    <row r="1497" spans="1:10" x14ac:dyDescent="0.25">
      <c r="A1497" s="31" t="s">
        <v>1136</v>
      </c>
      <c r="B1497" s="31">
        <v>42.28</v>
      </c>
      <c r="C1497" s="32" t="s">
        <v>12425</v>
      </c>
      <c r="D1497" s="31" t="s">
        <v>12398</v>
      </c>
      <c r="E1497" s="40" t="s">
        <v>9588</v>
      </c>
      <c r="F1497" s="38" t="s">
        <v>9102</v>
      </c>
      <c r="G1497" s="34" t="s">
        <v>9588</v>
      </c>
      <c r="H1497" s="34" t="s">
        <v>9588</v>
      </c>
      <c r="I1497" s="44" t="s">
        <v>12425</v>
      </c>
      <c r="J1497" s="36" t="s">
        <v>1136</v>
      </c>
    </row>
    <row r="1498" spans="1:10" x14ac:dyDescent="0.25">
      <c r="A1498" s="31" t="s">
        <v>1115</v>
      </c>
      <c r="B1498" s="31">
        <v>42.280099999999997</v>
      </c>
      <c r="C1498" s="32" t="s">
        <v>12426</v>
      </c>
      <c r="D1498" s="31" t="s">
        <v>12398</v>
      </c>
      <c r="E1498" s="40" t="s">
        <v>12427</v>
      </c>
      <c r="F1498" s="38" t="s">
        <v>9102</v>
      </c>
      <c r="G1498" s="34" t="s">
        <v>9588</v>
      </c>
      <c r="I1498" s="44" t="s">
        <v>12425</v>
      </c>
      <c r="J1498" s="36" t="s">
        <v>1115</v>
      </c>
    </row>
    <row r="1499" spans="1:10" x14ac:dyDescent="0.25">
      <c r="A1499" s="31" t="s">
        <v>1117</v>
      </c>
      <c r="B1499" s="31">
        <v>42.280200000000001</v>
      </c>
      <c r="C1499" s="32" t="s">
        <v>12428</v>
      </c>
      <c r="D1499" s="31" t="s">
        <v>12398</v>
      </c>
      <c r="E1499" s="40" t="s">
        <v>12429</v>
      </c>
      <c r="F1499" s="38" t="s">
        <v>9102</v>
      </c>
      <c r="G1499" s="34" t="s">
        <v>9588</v>
      </c>
      <c r="I1499" s="44" t="s">
        <v>12425</v>
      </c>
      <c r="J1499" s="36" t="s">
        <v>1117</v>
      </c>
    </row>
    <row r="1500" spans="1:10" x14ac:dyDescent="0.25">
      <c r="A1500" s="31" t="s">
        <v>1119</v>
      </c>
      <c r="B1500" s="31">
        <v>42.280299999999997</v>
      </c>
      <c r="C1500" s="32" t="s">
        <v>12430</v>
      </c>
      <c r="D1500" s="31" t="s">
        <v>12398</v>
      </c>
      <c r="E1500" s="40" t="s">
        <v>12431</v>
      </c>
      <c r="F1500" s="38" t="s">
        <v>9102</v>
      </c>
      <c r="G1500" s="34" t="s">
        <v>9588</v>
      </c>
      <c r="I1500" s="44" t="s">
        <v>12425</v>
      </c>
      <c r="J1500" s="36" t="s">
        <v>1119</v>
      </c>
    </row>
    <row r="1501" spans="1:10" x14ac:dyDescent="0.25">
      <c r="A1501" s="31" t="s">
        <v>1122</v>
      </c>
      <c r="B1501" s="31">
        <v>42.2804</v>
      </c>
      <c r="C1501" s="32" t="s">
        <v>12432</v>
      </c>
      <c r="D1501" s="31" t="s">
        <v>12398</v>
      </c>
      <c r="E1501" s="40" t="s">
        <v>12433</v>
      </c>
      <c r="F1501" s="38" t="s">
        <v>9102</v>
      </c>
      <c r="G1501" s="34" t="s">
        <v>9588</v>
      </c>
      <c r="I1501" s="44" t="s">
        <v>12425</v>
      </c>
      <c r="J1501" s="36" t="s">
        <v>1122</v>
      </c>
    </row>
    <row r="1502" spans="1:10" x14ac:dyDescent="0.25">
      <c r="A1502" s="31" t="s">
        <v>1125</v>
      </c>
      <c r="B1502" s="31">
        <v>42.280500000000004</v>
      </c>
      <c r="C1502" s="32" t="s">
        <v>12434</v>
      </c>
      <c r="D1502" s="31" t="s">
        <v>12398</v>
      </c>
      <c r="E1502" s="40" t="s">
        <v>12435</v>
      </c>
      <c r="F1502" s="38" t="s">
        <v>9102</v>
      </c>
      <c r="G1502" s="34" t="s">
        <v>9588</v>
      </c>
      <c r="I1502" s="44" t="s">
        <v>12425</v>
      </c>
      <c r="J1502" s="36" t="s">
        <v>1125</v>
      </c>
    </row>
    <row r="1503" spans="1:10" x14ac:dyDescent="0.25">
      <c r="A1503" s="31" t="s">
        <v>1126</v>
      </c>
      <c r="B1503" s="31">
        <v>42.2806</v>
      </c>
      <c r="C1503" s="32" t="s">
        <v>12436</v>
      </c>
      <c r="D1503" s="31" t="s">
        <v>12398</v>
      </c>
      <c r="E1503" s="40" t="s">
        <v>12437</v>
      </c>
      <c r="F1503" s="38" t="s">
        <v>9102</v>
      </c>
      <c r="G1503" s="34" t="s">
        <v>9588</v>
      </c>
      <c r="I1503" s="44" t="s">
        <v>12425</v>
      </c>
      <c r="J1503" s="36" t="s">
        <v>1126</v>
      </c>
    </row>
    <row r="1504" spans="1:10" x14ac:dyDescent="0.25">
      <c r="A1504" s="31" t="s">
        <v>1128</v>
      </c>
      <c r="B1504" s="31">
        <v>42.280700000000003</v>
      </c>
      <c r="C1504" s="32" t="s">
        <v>12438</v>
      </c>
      <c r="D1504" s="31" t="s">
        <v>12398</v>
      </c>
      <c r="E1504" s="40" t="s">
        <v>12439</v>
      </c>
      <c r="F1504" s="38" t="s">
        <v>9102</v>
      </c>
      <c r="G1504" s="34" t="s">
        <v>9588</v>
      </c>
      <c r="I1504" s="44" t="s">
        <v>12425</v>
      </c>
      <c r="J1504" s="36" t="s">
        <v>1128</v>
      </c>
    </row>
    <row r="1505" spans="1:10" x14ac:dyDescent="0.25">
      <c r="A1505" s="31" t="s">
        <v>1129</v>
      </c>
      <c r="B1505" s="31">
        <v>42.280799999999999</v>
      </c>
      <c r="C1505" s="32" t="s">
        <v>12440</v>
      </c>
      <c r="D1505" s="31" t="s">
        <v>12398</v>
      </c>
      <c r="E1505" s="40" t="s">
        <v>12441</v>
      </c>
      <c r="F1505" s="38" t="s">
        <v>9102</v>
      </c>
      <c r="G1505" s="34" t="s">
        <v>9588</v>
      </c>
      <c r="I1505" s="44" t="s">
        <v>12425</v>
      </c>
      <c r="J1505" s="36" t="s">
        <v>1129</v>
      </c>
    </row>
    <row r="1506" spans="1:10" x14ac:dyDescent="0.25">
      <c r="A1506" s="31" t="s">
        <v>1130</v>
      </c>
      <c r="B1506" s="31">
        <v>42.280900000000003</v>
      </c>
      <c r="C1506" s="32" t="s">
        <v>12442</v>
      </c>
      <c r="D1506" s="31" t="s">
        <v>12398</v>
      </c>
      <c r="E1506" s="40" t="s">
        <v>12443</v>
      </c>
      <c r="F1506" s="38" t="s">
        <v>9102</v>
      </c>
      <c r="G1506" s="34" t="s">
        <v>9588</v>
      </c>
      <c r="I1506" s="44" t="s">
        <v>12425</v>
      </c>
      <c r="J1506" s="36" t="s">
        <v>1130</v>
      </c>
    </row>
    <row r="1507" spans="1:10" x14ac:dyDescent="0.25">
      <c r="A1507" s="31" t="s">
        <v>1137</v>
      </c>
      <c r="B1507" s="31">
        <v>42.280999999999999</v>
      </c>
      <c r="C1507" s="32" t="s">
        <v>12444</v>
      </c>
      <c r="D1507" s="31" t="s">
        <v>12398</v>
      </c>
      <c r="E1507" s="40" t="s">
        <v>12445</v>
      </c>
      <c r="F1507" s="38" t="s">
        <v>9102</v>
      </c>
      <c r="G1507" s="34" t="s">
        <v>9588</v>
      </c>
      <c r="I1507" s="44" t="s">
        <v>12425</v>
      </c>
      <c r="J1507" s="36" t="s">
        <v>1137</v>
      </c>
    </row>
    <row r="1508" spans="1:10" x14ac:dyDescent="0.25">
      <c r="A1508" s="31" t="s">
        <v>1132</v>
      </c>
      <c r="B1508" s="31">
        <v>42.281100000000002</v>
      </c>
      <c r="C1508" s="32" t="s">
        <v>12446</v>
      </c>
      <c r="D1508" s="31" t="s">
        <v>12398</v>
      </c>
      <c r="E1508" s="40" t="s">
        <v>12447</v>
      </c>
      <c r="F1508" s="38" t="s">
        <v>9102</v>
      </c>
      <c r="G1508" s="34" t="s">
        <v>9588</v>
      </c>
      <c r="I1508" s="44" t="s">
        <v>12425</v>
      </c>
      <c r="J1508" s="36" t="s">
        <v>1132</v>
      </c>
    </row>
    <row r="1509" spans="1:10" x14ac:dyDescent="0.25">
      <c r="A1509" s="31" t="s">
        <v>1133</v>
      </c>
      <c r="B1509" s="31">
        <v>42.281199999999998</v>
      </c>
      <c r="C1509" s="32" t="s">
        <v>12448</v>
      </c>
      <c r="D1509" s="31" t="s">
        <v>12398</v>
      </c>
      <c r="E1509" s="40" t="s">
        <v>12449</v>
      </c>
      <c r="F1509" s="38" t="s">
        <v>9102</v>
      </c>
      <c r="G1509" s="34" t="s">
        <v>9588</v>
      </c>
      <c r="I1509" s="44" t="s">
        <v>12425</v>
      </c>
      <c r="J1509" s="36" t="s">
        <v>1133</v>
      </c>
    </row>
    <row r="1510" spans="1:10" x14ac:dyDescent="0.25">
      <c r="A1510" s="31" t="s">
        <v>1138</v>
      </c>
      <c r="B1510" s="31">
        <v>42.281300000000002</v>
      </c>
      <c r="C1510" s="32" t="s">
        <v>12450</v>
      </c>
      <c r="D1510" s="31" t="s">
        <v>12398</v>
      </c>
      <c r="E1510" s="40" t="s">
        <v>12451</v>
      </c>
      <c r="F1510" s="38" t="s">
        <v>9102</v>
      </c>
      <c r="G1510" s="34" t="s">
        <v>9588</v>
      </c>
      <c r="I1510" s="44" t="s">
        <v>12425</v>
      </c>
      <c r="J1510" s="36" t="s">
        <v>1138</v>
      </c>
    </row>
    <row r="1511" spans="1:10" x14ac:dyDescent="0.25">
      <c r="A1511" s="31" t="s">
        <v>1139</v>
      </c>
      <c r="B1511" s="31">
        <v>42.281399999999998</v>
      </c>
      <c r="C1511" s="32" t="s">
        <v>12452</v>
      </c>
      <c r="D1511" s="31" t="s">
        <v>12398</v>
      </c>
      <c r="E1511" s="40" t="s">
        <v>12453</v>
      </c>
      <c r="F1511" s="38" t="s">
        <v>9102</v>
      </c>
      <c r="G1511" s="34" t="s">
        <v>9588</v>
      </c>
      <c r="I1511" s="44" t="s">
        <v>12425</v>
      </c>
      <c r="J1511" s="36" t="s">
        <v>1139</v>
      </c>
    </row>
    <row r="1512" spans="1:10" x14ac:dyDescent="0.25">
      <c r="A1512" s="31" t="s">
        <v>2052</v>
      </c>
      <c r="B1512" s="31">
        <v>42.281500000000001</v>
      </c>
      <c r="C1512" s="32" t="s">
        <v>12454</v>
      </c>
      <c r="D1512" s="31" t="s">
        <v>12398</v>
      </c>
      <c r="E1512" s="40" t="s">
        <v>12455</v>
      </c>
      <c r="F1512" s="38" t="s">
        <v>9102</v>
      </c>
      <c r="G1512" s="34" t="s">
        <v>9588</v>
      </c>
      <c r="I1512" s="44" t="s">
        <v>12425</v>
      </c>
      <c r="J1512" s="36" t="s">
        <v>2052</v>
      </c>
    </row>
    <row r="1513" spans="1:10" x14ac:dyDescent="0.25">
      <c r="A1513" s="31" t="s">
        <v>2053</v>
      </c>
      <c r="B1513" s="31">
        <v>42.281599999999997</v>
      </c>
      <c r="C1513" s="32" t="s">
        <v>12456</v>
      </c>
      <c r="D1513" s="31" t="s">
        <v>12398</v>
      </c>
      <c r="E1513" s="40" t="s">
        <v>12457</v>
      </c>
      <c r="F1513" s="38" t="s">
        <v>9102</v>
      </c>
      <c r="G1513" s="34" t="s">
        <v>9588</v>
      </c>
      <c r="I1513" s="44" t="s">
        <v>12425</v>
      </c>
      <c r="J1513" s="36" t="s">
        <v>2053</v>
      </c>
    </row>
    <row r="1514" spans="1:10" x14ac:dyDescent="0.25">
      <c r="A1514" s="31" t="s">
        <v>2054</v>
      </c>
      <c r="B1514" s="31">
        <v>42.281700000000001</v>
      </c>
      <c r="C1514" s="32" t="s">
        <v>12458</v>
      </c>
      <c r="D1514" s="31" t="s">
        <v>12398</v>
      </c>
      <c r="E1514" s="40" t="s">
        <v>12459</v>
      </c>
      <c r="F1514" s="38" t="s">
        <v>9102</v>
      </c>
      <c r="G1514" s="34" t="s">
        <v>9588</v>
      </c>
      <c r="I1514" s="44" t="s">
        <v>12425</v>
      </c>
      <c r="J1514" s="36" t="s">
        <v>2054</v>
      </c>
    </row>
    <row r="1515" spans="1:10" x14ac:dyDescent="0.25">
      <c r="A1515" s="31" t="s">
        <v>1140</v>
      </c>
      <c r="B1515" s="31">
        <v>42.289900000000003</v>
      </c>
      <c r="C1515" s="32" t="s">
        <v>12460</v>
      </c>
      <c r="D1515" s="31" t="s">
        <v>12398</v>
      </c>
      <c r="E1515" s="40" t="s">
        <v>12461</v>
      </c>
      <c r="F1515" s="38" t="s">
        <v>9102</v>
      </c>
      <c r="G1515" s="34" t="s">
        <v>9588</v>
      </c>
      <c r="I1515" s="44" t="s">
        <v>12425</v>
      </c>
      <c r="J1515" s="36" t="s">
        <v>1140</v>
      </c>
    </row>
    <row r="1516" spans="1:10" x14ac:dyDescent="0.25">
      <c r="A1516" s="31" t="s">
        <v>1141</v>
      </c>
      <c r="B1516" s="31">
        <v>42.99</v>
      </c>
      <c r="C1516" s="32" t="s">
        <v>12462</v>
      </c>
      <c r="D1516" s="31" t="s">
        <v>12398</v>
      </c>
      <c r="E1516" s="40" t="s">
        <v>9589</v>
      </c>
      <c r="F1516" s="38" t="s">
        <v>9102</v>
      </c>
      <c r="G1516" s="34" t="s">
        <v>9589</v>
      </c>
      <c r="H1516" s="34" t="s">
        <v>9589</v>
      </c>
      <c r="I1516" s="35" t="s">
        <v>12462</v>
      </c>
      <c r="J1516" s="36" t="s">
        <v>1141</v>
      </c>
    </row>
    <row r="1517" spans="1:10" x14ac:dyDescent="0.25">
      <c r="A1517" s="31" t="s">
        <v>1141</v>
      </c>
      <c r="B1517" s="31">
        <v>42.999899999999997</v>
      </c>
      <c r="C1517" s="32" t="s">
        <v>12463</v>
      </c>
      <c r="D1517" s="31" t="s">
        <v>12398</v>
      </c>
      <c r="E1517" s="40" t="s">
        <v>12464</v>
      </c>
      <c r="F1517" s="38" t="s">
        <v>9102</v>
      </c>
      <c r="G1517" s="34" t="s">
        <v>9589</v>
      </c>
      <c r="I1517" s="35" t="s">
        <v>12462</v>
      </c>
      <c r="J1517" s="36" t="s">
        <v>1141</v>
      </c>
    </row>
    <row r="1518" spans="1:10" x14ac:dyDescent="0.25">
      <c r="A1518" s="31" t="s">
        <v>1142</v>
      </c>
      <c r="B1518" s="31">
        <v>43</v>
      </c>
      <c r="C1518" s="32" t="s">
        <v>12465</v>
      </c>
      <c r="D1518" s="31" t="s">
        <v>12465</v>
      </c>
      <c r="E1518" s="40" t="s">
        <v>9591</v>
      </c>
      <c r="F1518" s="38" t="s">
        <v>9590</v>
      </c>
      <c r="G1518" s="34" t="s">
        <v>9591</v>
      </c>
      <c r="H1518" s="34" t="s">
        <v>9591</v>
      </c>
      <c r="I1518" s="45" t="s">
        <v>12465</v>
      </c>
      <c r="J1518" s="36" t="s">
        <v>1142</v>
      </c>
    </row>
    <row r="1519" spans="1:10" x14ac:dyDescent="0.25">
      <c r="A1519" s="31" t="s">
        <v>2055</v>
      </c>
      <c r="B1519" s="31">
        <v>43.01</v>
      </c>
      <c r="C1519" s="32" t="s">
        <v>12466</v>
      </c>
      <c r="D1519" s="31" t="s">
        <v>12465</v>
      </c>
      <c r="E1519" s="40" t="s">
        <v>12467</v>
      </c>
      <c r="F1519" s="38" t="s">
        <v>9590</v>
      </c>
      <c r="G1519" s="34" t="s">
        <v>9592</v>
      </c>
      <c r="I1519" s="44" t="s">
        <v>12468</v>
      </c>
      <c r="J1519" s="36" t="s">
        <v>2055</v>
      </c>
    </row>
    <row r="1520" spans="1:10" x14ac:dyDescent="0.25">
      <c r="A1520" s="31" t="s">
        <v>1143</v>
      </c>
      <c r="B1520" s="31">
        <v>43.01</v>
      </c>
      <c r="C1520" s="32" t="s">
        <v>12468</v>
      </c>
      <c r="D1520" s="31" t="s">
        <v>12465</v>
      </c>
      <c r="E1520" s="40" t="s">
        <v>9592</v>
      </c>
      <c r="F1520" s="38" t="s">
        <v>9590</v>
      </c>
      <c r="G1520" s="34" t="s">
        <v>9592</v>
      </c>
      <c r="H1520" s="34" t="s">
        <v>9592</v>
      </c>
      <c r="I1520" s="44" t="s">
        <v>12468</v>
      </c>
      <c r="J1520" s="36" t="s">
        <v>1143</v>
      </c>
    </row>
    <row r="1521" spans="1:10" x14ac:dyDescent="0.25">
      <c r="A1521" s="31" t="s">
        <v>1144</v>
      </c>
      <c r="B1521" s="31">
        <v>43.010199999999998</v>
      </c>
      <c r="C1521" s="32" t="s">
        <v>12469</v>
      </c>
      <c r="D1521" s="31" t="s">
        <v>12465</v>
      </c>
      <c r="E1521" s="40" t="s">
        <v>12470</v>
      </c>
      <c r="F1521" s="38" t="s">
        <v>9590</v>
      </c>
      <c r="G1521" s="34" t="s">
        <v>9592</v>
      </c>
      <c r="I1521" s="44" t="s">
        <v>12468</v>
      </c>
      <c r="J1521" s="36" t="s">
        <v>1144</v>
      </c>
    </row>
    <row r="1522" spans="1:10" x14ac:dyDescent="0.25">
      <c r="A1522" s="31" t="s">
        <v>1145</v>
      </c>
      <c r="B1522" s="31">
        <v>43.010300000000001</v>
      </c>
      <c r="C1522" s="32" t="s">
        <v>12471</v>
      </c>
      <c r="D1522" s="31" t="s">
        <v>12465</v>
      </c>
      <c r="E1522" s="40" t="s">
        <v>12472</v>
      </c>
      <c r="F1522" s="38" t="s">
        <v>9590</v>
      </c>
      <c r="G1522" s="34" t="s">
        <v>9592</v>
      </c>
      <c r="I1522" s="44" t="s">
        <v>12468</v>
      </c>
      <c r="J1522" s="36" t="s">
        <v>1145</v>
      </c>
    </row>
    <row r="1523" spans="1:10" x14ac:dyDescent="0.25">
      <c r="A1523" s="31" t="s">
        <v>1146</v>
      </c>
      <c r="B1523" s="31">
        <v>43.010399999999997</v>
      </c>
      <c r="C1523" s="32" t="s">
        <v>12473</v>
      </c>
      <c r="D1523" s="31" t="s">
        <v>12465</v>
      </c>
      <c r="E1523" s="40" t="s">
        <v>12474</v>
      </c>
      <c r="F1523" s="38" t="s">
        <v>9590</v>
      </c>
      <c r="G1523" s="34" t="s">
        <v>9592</v>
      </c>
      <c r="I1523" s="44" t="s">
        <v>12468</v>
      </c>
      <c r="J1523" s="36" t="s">
        <v>1146</v>
      </c>
    </row>
    <row r="1524" spans="1:10" x14ac:dyDescent="0.25">
      <c r="A1524" s="31" t="s">
        <v>1147</v>
      </c>
      <c r="B1524" s="31">
        <v>43.010599999999997</v>
      </c>
      <c r="C1524" s="32" t="s">
        <v>12475</v>
      </c>
      <c r="D1524" s="31" t="s">
        <v>12465</v>
      </c>
      <c r="E1524" s="40" t="s">
        <v>12476</v>
      </c>
      <c r="F1524" s="38" t="s">
        <v>9590</v>
      </c>
      <c r="G1524" s="34" t="s">
        <v>9592</v>
      </c>
      <c r="I1524" s="44" t="s">
        <v>12468</v>
      </c>
      <c r="J1524" s="36" t="s">
        <v>1147</v>
      </c>
    </row>
    <row r="1525" spans="1:10" x14ac:dyDescent="0.25">
      <c r="A1525" s="31" t="s">
        <v>1148</v>
      </c>
      <c r="B1525" s="31">
        <v>43.0107</v>
      </c>
      <c r="C1525" s="32" t="s">
        <v>12477</v>
      </c>
      <c r="D1525" s="31" t="s">
        <v>12465</v>
      </c>
      <c r="E1525" s="40" t="s">
        <v>12478</v>
      </c>
      <c r="F1525" s="38" t="s">
        <v>9590</v>
      </c>
      <c r="G1525" s="34" t="s">
        <v>9592</v>
      </c>
      <c r="I1525" s="44" t="s">
        <v>12468</v>
      </c>
      <c r="J1525" s="36" t="s">
        <v>1148</v>
      </c>
    </row>
    <row r="1526" spans="1:10" x14ac:dyDescent="0.25">
      <c r="A1526" s="31" t="s">
        <v>1149</v>
      </c>
      <c r="B1526" s="31">
        <v>43.010899999999999</v>
      </c>
      <c r="C1526" s="32" t="s">
        <v>12479</v>
      </c>
      <c r="D1526" s="31" t="s">
        <v>12465</v>
      </c>
      <c r="E1526" s="40" t="s">
        <v>12480</v>
      </c>
      <c r="F1526" s="38" t="s">
        <v>9590</v>
      </c>
      <c r="G1526" s="34" t="s">
        <v>9592</v>
      </c>
      <c r="I1526" s="44" t="s">
        <v>12468</v>
      </c>
      <c r="J1526" s="36" t="s">
        <v>1149</v>
      </c>
    </row>
    <row r="1527" spans="1:10" x14ac:dyDescent="0.25">
      <c r="A1527" s="31" t="s">
        <v>1150</v>
      </c>
      <c r="B1527" s="31">
        <v>43.011000000000003</v>
      </c>
      <c r="C1527" s="32" t="s">
        <v>12481</v>
      </c>
      <c r="D1527" s="31" t="s">
        <v>12465</v>
      </c>
      <c r="E1527" s="40" t="s">
        <v>12482</v>
      </c>
      <c r="F1527" s="38" t="s">
        <v>9590</v>
      </c>
      <c r="G1527" s="34" t="s">
        <v>9592</v>
      </c>
      <c r="I1527" s="44" t="s">
        <v>12468</v>
      </c>
      <c r="J1527" s="36" t="s">
        <v>1150</v>
      </c>
    </row>
    <row r="1528" spans="1:10" x14ac:dyDescent="0.25">
      <c r="A1528" s="31" t="s">
        <v>1151</v>
      </c>
      <c r="B1528" s="31">
        <v>43.011099999999999</v>
      </c>
      <c r="C1528" s="32" t="s">
        <v>12483</v>
      </c>
      <c r="D1528" s="31" t="s">
        <v>12465</v>
      </c>
      <c r="E1528" s="40" t="s">
        <v>12484</v>
      </c>
      <c r="F1528" s="38" t="s">
        <v>9590</v>
      </c>
      <c r="G1528" s="34" t="s">
        <v>9592</v>
      </c>
      <c r="I1528" s="44" t="s">
        <v>12468</v>
      </c>
      <c r="J1528" s="36" t="s">
        <v>1151</v>
      </c>
    </row>
    <row r="1529" spans="1:10" x14ac:dyDescent="0.25">
      <c r="A1529" s="31" t="s">
        <v>1152</v>
      </c>
      <c r="B1529" s="31">
        <v>43.011200000000002</v>
      </c>
      <c r="C1529" s="32" t="s">
        <v>12485</v>
      </c>
      <c r="D1529" s="31" t="s">
        <v>12465</v>
      </c>
      <c r="E1529" s="40" t="s">
        <v>12486</v>
      </c>
      <c r="F1529" s="38" t="s">
        <v>9590</v>
      </c>
      <c r="G1529" s="34" t="s">
        <v>9592</v>
      </c>
      <c r="I1529" s="44" t="s">
        <v>12468</v>
      </c>
      <c r="J1529" s="36" t="s">
        <v>1152</v>
      </c>
    </row>
    <row r="1530" spans="1:10" x14ac:dyDescent="0.25">
      <c r="A1530" s="31" t="s">
        <v>1153</v>
      </c>
      <c r="B1530" s="31">
        <v>43.011299999999999</v>
      </c>
      <c r="C1530" s="32" t="s">
        <v>12487</v>
      </c>
      <c r="D1530" s="31" t="s">
        <v>12465</v>
      </c>
      <c r="E1530" s="40" t="s">
        <v>12488</v>
      </c>
      <c r="F1530" s="38" t="s">
        <v>9590</v>
      </c>
      <c r="G1530" s="34" t="s">
        <v>9592</v>
      </c>
      <c r="I1530" s="44" t="s">
        <v>12468</v>
      </c>
      <c r="J1530" s="36" t="s">
        <v>1153</v>
      </c>
    </row>
    <row r="1531" spans="1:10" x14ac:dyDescent="0.25">
      <c r="A1531" s="31" t="s">
        <v>1154</v>
      </c>
      <c r="B1531" s="31">
        <v>43.011400000000002</v>
      </c>
      <c r="C1531" s="32" t="s">
        <v>12489</v>
      </c>
      <c r="D1531" s="31" t="s">
        <v>12465</v>
      </c>
      <c r="E1531" s="40" t="s">
        <v>12490</v>
      </c>
      <c r="F1531" s="38" t="s">
        <v>9590</v>
      </c>
      <c r="G1531" s="34" t="s">
        <v>9592</v>
      </c>
      <c r="I1531" s="44" t="s">
        <v>12468</v>
      </c>
      <c r="J1531" s="36" t="s">
        <v>1154</v>
      </c>
    </row>
    <row r="1532" spans="1:10" x14ac:dyDescent="0.25">
      <c r="A1532" s="31" t="s">
        <v>1155</v>
      </c>
      <c r="B1532" s="31">
        <v>43.011499999999998</v>
      </c>
      <c r="C1532" s="32" t="s">
        <v>12491</v>
      </c>
      <c r="D1532" s="31" t="s">
        <v>12465</v>
      </c>
      <c r="E1532" s="40" t="s">
        <v>12492</v>
      </c>
      <c r="F1532" s="38" t="s">
        <v>9590</v>
      </c>
      <c r="G1532" s="34" t="s">
        <v>9592</v>
      </c>
      <c r="I1532" s="44" t="s">
        <v>12468</v>
      </c>
      <c r="J1532" s="36" t="s">
        <v>1155</v>
      </c>
    </row>
    <row r="1533" spans="1:10" x14ac:dyDescent="0.25">
      <c r="A1533" s="31" t="s">
        <v>1156</v>
      </c>
      <c r="B1533" s="31">
        <v>43.011600000000001</v>
      </c>
      <c r="C1533" s="32" t="s">
        <v>12493</v>
      </c>
      <c r="D1533" s="31" t="s">
        <v>12465</v>
      </c>
      <c r="E1533" s="40" t="s">
        <v>12494</v>
      </c>
      <c r="F1533" s="38" t="s">
        <v>9590</v>
      </c>
      <c r="G1533" s="34" t="s">
        <v>9592</v>
      </c>
      <c r="I1533" s="44" t="s">
        <v>12468</v>
      </c>
      <c r="J1533" s="36" t="s">
        <v>1156</v>
      </c>
    </row>
    <row r="1534" spans="1:10" x14ac:dyDescent="0.25">
      <c r="A1534" s="31" t="s">
        <v>1157</v>
      </c>
      <c r="B1534" s="31">
        <v>43.011699999999998</v>
      </c>
      <c r="C1534" s="32" t="s">
        <v>12495</v>
      </c>
      <c r="D1534" s="31" t="s">
        <v>12465</v>
      </c>
      <c r="E1534" s="40" t="s">
        <v>12496</v>
      </c>
      <c r="F1534" s="38" t="s">
        <v>9590</v>
      </c>
      <c r="G1534" s="34" t="s">
        <v>9592</v>
      </c>
      <c r="I1534" s="44" t="s">
        <v>12468</v>
      </c>
      <c r="J1534" s="36" t="s">
        <v>1157</v>
      </c>
    </row>
    <row r="1535" spans="1:10" x14ac:dyDescent="0.25">
      <c r="A1535" s="31" t="s">
        <v>1158</v>
      </c>
      <c r="B1535" s="31">
        <v>43.011800000000001</v>
      </c>
      <c r="C1535" s="32" t="s">
        <v>12497</v>
      </c>
      <c r="D1535" s="31" t="s">
        <v>12465</v>
      </c>
      <c r="E1535" s="40" t="s">
        <v>12498</v>
      </c>
      <c r="F1535" s="38" t="s">
        <v>9590</v>
      </c>
      <c r="G1535" s="34" t="s">
        <v>9592</v>
      </c>
      <c r="I1535" s="44" t="s">
        <v>12468</v>
      </c>
      <c r="J1535" s="36" t="s">
        <v>1158</v>
      </c>
    </row>
    <row r="1536" spans="1:10" x14ac:dyDescent="0.25">
      <c r="A1536" s="31" t="s">
        <v>1159</v>
      </c>
      <c r="B1536" s="31">
        <v>43.011899999999997</v>
      </c>
      <c r="C1536" s="32" t="s">
        <v>12499</v>
      </c>
      <c r="D1536" s="31" t="s">
        <v>12465</v>
      </c>
      <c r="E1536" s="40" t="s">
        <v>12500</v>
      </c>
      <c r="F1536" s="38" t="s">
        <v>9590</v>
      </c>
      <c r="G1536" s="34" t="s">
        <v>9592</v>
      </c>
      <c r="I1536" s="44" t="s">
        <v>12468</v>
      </c>
      <c r="J1536" s="36" t="s">
        <v>1159</v>
      </c>
    </row>
    <row r="1537" spans="1:10" x14ac:dyDescent="0.25">
      <c r="A1537" s="31" t="s">
        <v>1160</v>
      </c>
      <c r="B1537" s="31">
        <v>43.012</v>
      </c>
      <c r="C1537" s="32" t="s">
        <v>12501</v>
      </c>
      <c r="D1537" s="31" t="s">
        <v>12465</v>
      </c>
      <c r="E1537" s="40" t="s">
        <v>12502</v>
      </c>
      <c r="F1537" s="38" t="s">
        <v>9590</v>
      </c>
      <c r="G1537" s="34" t="s">
        <v>9592</v>
      </c>
      <c r="I1537" s="44" t="s">
        <v>12468</v>
      </c>
      <c r="J1537" s="36" t="s">
        <v>1160</v>
      </c>
    </row>
    <row r="1538" spans="1:10" x14ac:dyDescent="0.25">
      <c r="A1538" s="31" t="s">
        <v>1161</v>
      </c>
      <c r="B1538" s="31">
        <v>43.012099999999997</v>
      </c>
      <c r="C1538" s="32" t="s">
        <v>12503</v>
      </c>
      <c r="D1538" s="31" t="s">
        <v>12465</v>
      </c>
      <c r="E1538" s="40" t="s">
        <v>12504</v>
      </c>
      <c r="F1538" s="38" t="s">
        <v>9590</v>
      </c>
      <c r="G1538" s="34" t="s">
        <v>9592</v>
      </c>
      <c r="I1538" s="44" t="s">
        <v>12468</v>
      </c>
      <c r="J1538" s="36" t="s">
        <v>1161</v>
      </c>
    </row>
    <row r="1539" spans="1:10" x14ac:dyDescent="0.25">
      <c r="A1539" s="31" t="s">
        <v>1162</v>
      </c>
      <c r="B1539" s="31">
        <v>43.0122</v>
      </c>
      <c r="C1539" s="32" t="s">
        <v>12505</v>
      </c>
      <c r="D1539" s="31" t="s">
        <v>12465</v>
      </c>
      <c r="E1539" s="40" t="s">
        <v>12506</v>
      </c>
      <c r="F1539" s="38" t="s">
        <v>9590</v>
      </c>
      <c r="G1539" s="34" t="s">
        <v>9592</v>
      </c>
      <c r="I1539" s="44" t="s">
        <v>12468</v>
      </c>
      <c r="J1539" s="36" t="s">
        <v>1162</v>
      </c>
    </row>
    <row r="1540" spans="1:10" x14ac:dyDescent="0.25">
      <c r="A1540" s="31" t="s">
        <v>1163</v>
      </c>
      <c r="B1540" s="31">
        <v>43.012300000000003</v>
      </c>
      <c r="C1540" s="32" t="s">
        <v>12507</v>
      </c>
      <c r="D1540" s="31" t="s">
        <v>12465</v>
      </c>
      <c r="E1540" s="40" t="s">
        <v>12508</v>
      </c>
      <c r="F1540" s="38" t="s">
        <v>9590</v>
      </c>
      <c r="G1540" s="34" t="s">
        <v>9592</v>
      </c>
      <c r="I1540" s="44" t="s">
        <v>12468</v>
      </c>
      <c r="J1540" s="36" t="s">
        <v>1163</v>
      </c>
    </row>
    <row r="1541" spans="1:10" x14ac:dyDescent="0.25">
      <c r="A1541" s="31" t="s">
        <v>1164</v>
      </c>
      <c r="B1541" s="31">
        <v>43.0199</v>
      </c>
      <c r="C1541" s="32" t="s">
        <v>12509</v>
      </c>
      <c r="D1541" s="31" t="s">
        <v>12465</v>
      </c>
      <c r="E1541" s="40" t="s">
        <v>12510</v>
      </c>
      <c r="F1541" s="38" t="s">
        <v>9590</v>
      </c>
      <c r="G1541" s="34" t="s">
        <v>9592</v>
      </c>
      <c r="I1541" s="44" t="s">
        <v>12468</v>
      </c>
      <c r="J1541" s="36" t="s">
        <v>1164</v>
      </c>
    </row>
    <row r="1542" spans="1:10" x14ac:dyDescent="0.25">
      <c r="A1542" s="31" t="s">
        <v>1165</v>
      </c>
      <c r="B1542" s="31">
        <v>43.02</v>
      </c>
      <c r="C1542" s="32" t="s">
        <v>12511</v>
      </c>
      <c r="D1542" s="31" t="s">
        <v>12465</v>
      </c>
      <c r="E1542" s="40" t="s">
        <v>9593</v>
      </c>
      <c r="F1542" s="38" t="s">
        <v>9590</v>
      </c>
      <c r="G1542" s="34" t="s">
        <v>9593</v>
      </c>
      <c r="H1542" s="34" t="s">
        <v>9593</v>
      </c>
      <c r="I1542" s="44" t="s">
        <v>12511</v>
      </c>
      <c r="J1542" s="36" t="s">
        <v>1165</v>
      </c>
    </row>
    <row r="1543" spans="1:10" x14ac:dyDescent="0.25">
      <c r="A1543" s="31" t="s">
        <v>1166</v>
      </c>
      <c r="B1543" s="31">
        <v>43.020099999999999</v>
      </c>
      <c r="C1543" s="32" t="s">
        <v>12512</v>
      </c>
      <c r="D1543" s="31" t="s">
        <v>12465</v>
      </c>
      <c r="E1543" s="40" t="s">
        <v>12513</v>
      </c>
      <c r="F1543" s="38" t="s">
        <v>9590</v>
      </c>
      <c r="G1543" s="34" t="s">
        <v>9593</v>
      </c>
      <c r="I1543" s="44" t="s">
        <v>12511</v>
      </c>
      <c r="J1543" s="36" t="s">
        <v>1166</v>
      </c>
    </row>
    <row r="1544" spans="1:10" x14ac:dyDescent="0.25">
      <c r="A1544" s="31" t="s">
        <v>1167</v>
      </c>
      <c r="B1544" s="31">
        <v>43.020200000000003</v>
      </c>
      <c r="C1544" s="32" t="s">
        <v>12514</v>
      </c>
      <c r="D1544" s="31" t="s">
        <v>12465</v>
      </c>
      <c r="E1544" s="40" t="s">
        <v>12515</v>
      </c>
      <c r="F1544" s="38" t="s">
        <v>9590</v>
      </c>
      <c r="G1544" s="34" t="s">
        <v>9593</v>
      </c>
      <c r="I1544" s="44" t="s">
        <v>12511</v>
      </c>
      <c r="J1544" s="36" t="s">
        <v>1167</v>
      </c>
    </row>
    <row r="1545" spans="1:10" x14ac:dyDescent="0.25">
      <c r="A1545" s="31" t="s">
        <v>1168</v>
      </c>
      <c r="B1545" s="31">
        <v>43.020299999999999</v>
      </c>
      <c r="C1545" s="32" t="s">
        <v>12516</v>
      </c>
      <c r="D1545" s="31" t="s">
        <v>12465</v>
      </c>
      <c r="E1545" s="40" t="s">
        <v>12517</v>
      </c>
      <c r="F1545" s="38" t="s">
        <v>9590</v>
      </c>
      <c r="G1545" s="34" t="s">
        <v>9593</v>
      </c>
      <c r="I1545" s="44" t="s">
        <v>12511</v>
      </c>
      <c r="J1545" s="36" t="s">
        <v>1168</v>
      </c>
    </row>
    <row r="1546" spans="1:10" x14ac:dyDescent="0.25">
      <c r="A1546" s="31" t="s">
        <v>1169</v>
      </c>
      <c r="B1546" s="31">
        <v>43.020400000000002</v>
      </c>
      <c r="C1546" s="32" t="s">
        <v>12518</v>
      </c>
      <c r="D1546" s="31" t="s">
        <v>12465</v>
      </c>
      <c r="E1546" s="40" t="s">
        <v>12519</v>
      </c>
      <c r="F1546" s="38" t="s">
        <v>9590</v>
      </c>
      <c r="G1546" s="34" t="s">
        <v>9593</v>
      </c>
      <c r="I1546" s="44" t="s">
        <v>12511</v>
      </c>
      <c r="J1546" s="36" t="s">
        <v>1169</v>
      </c>
    </row>
    <row r="1547" spans="1:10" x14ac:dyDescent="0.25">
      <c r="A1547" s="31" t="s">
        <v>1170</v>
      </c>
      <c r="B1547" s="31">
        <v>43.020499999999998</v>
      </c>
      <c r="C1547" s="32" t="s">
        <v>12520</v>
      </c>
      <c r="D1547" s="31" t="s">
        <v>12465</v>
      </c>
      <c r="E1547" s="40" t="s">
        <v>12521</v>
      </c>
      <c r="F1547" s="38" t="s">
        <v>9590</v>
      </c>
      <c r="G1547" s="34" t="s">
        <v>9593</v>
      </c>
      <c r="I1547" s="44" t="s">
        <v>12511</v>
      </c>
      <c r="J1547" s="36" t="s">
        <v>1170</v>
      </c>
    </row>
    <row r="1548" spans="1:10" x14ac:dyDescent="0.25">
      <c r="A1548" s="31" t="s">
        <v>1171</v>
      </c>
      <c r="B1548" s="31">
        <v>43.020600000000002</v>
      </c>
      <c r="C1548" s="32" t="s">
        <v>12522</v>
      </c>
      <c r="D1548" s="31" t="s">
        <v>12465</v>
      </c>
      <c r="E1548" s="40" t="s">
        <v>12523</v>
      </c>
      <c r="F1548" s="38" t="s">
        <v>9590</v>
      </c>
      <c r="G1548" s="34" t="s">
        <v>9593</v>
      </c>
      <c r="I1548" s="44" t="s">
        <v>12511</v>
      </c>
      <c r="J1548" s="36" t="s">
        <v>1171</v>
      </c>
    </row>
    <row r="1549" spans="1:10" x14ac:dyDescent="0.25">
      <c r="A1549" s="31" t="s">
        <v>1172</v>
      </c>
      <c r="B1549" s="31">
        <v>43.029899999999998</v>
      </c>
      <c r="C1549" s="32" t="s">
        <v>12524</v>
      </c>
      <c r="D1549" s="31" t="s">
        <v>12465</v>
      </c>
      <c r="E1549" s="40" t="s">
        <v>12525</v>
      </c>
      <c r="F1549" s="38" t="s">
        <v>9590</v>
      </c>
      <c r="G1549" s="34" t="s">
        <v>9593</v>
      </c>
      <c r="I1549" s="44" t="s">
        <v>12511</v>
      </c>
      <c r="J1549" s="36" t="s">
        <v>1172</v>
      </c>
    </row>
    <row r="1550" spans="1:10" x14ac:dyDescent="0.25">
      <c r="A1550" s="31" t="s">
        <v>1173</v>
      </c>
      <c r="B1550" s="31">
        <v>43.03</v>
      </c>
      <c r="C1550" s="32" t="s">
        <v>12526</v>
      </c>
      <c r="D1550" s="31" t="s">
        <v>12465</v>
      </c>
      <c r="E1550" s="40" t="s">
        <v>9594</v>
      </c>
      <c r="F1550" s="38" t="s">
        <v>9590</v>
      </c>
      <c r="G1550" s="34" t="s">
        <v>9594</v>
      </c>
      <c r="H1550" s="34" t="s">
        <v>9594</v>
      </c>
      <c r="I1550" s="44" t="s">
        <v>12526</v>
      </c>
      <c r="J1550" s="36" t="s">
        <v>1173</v>
      </c>
    </row>
    <row r="1551" spans="1:10" x14ac:dyDescent="0.25">
      <c r="A1551" s="31" t="s">
        <v>1173</v>
      </c>
      <c r="B1551" s="31">
        <v>43.030099999999997</v>
      </c>
      <c r="C1551" s="32" t="s">
        <v>12527</v>
      </c>
      <c r="D1551" s="31" t="s">
        <v>12465</v>
      </c>
      <c r="E1551" s="40" t="s">
        <v>12528</v>
      </c>
      <c r="F1551" s="38" t="s">
        <v>9590</v>
      </c>
      <c r="G1551" s="34" t="s">
        <v>9594</v>
      </c>
      <c r="I1551" s="44" t="s">
        <v>12526</v>
      </c>
      <c r="J1551" s="36" t="s">
        <v>1173</v>
      </c>
    </row>
    <row r="1552" spans="1:10" x14ac:dyDescent="0.25">
      <c r="A1552" s="31" t="s">
        <v>1174</v>
      </c>
      <c r="B1552" s="31">
        <v>43.030200000000001</v>
      </c>
      <c r="C1552" s="32" t="s">
        <v>12529</v>
      </c>
      <c r="D1552" s="31" t="s">
        <v>12465</v>
      </c>
      <c r="E1552" s="40" t="s">
        <v>12530</v>
      </c>
      <c r="F1552" s="38" t="s">
        <v>9590</v>
      </c>
      <c r="G1552" s="34" t="s">
        <v>9594</v>
      </c>
      <c r="I1552" s="44" t="s">
        <v>12526</v>
      </c>
      <c r="J1552" s="36" t="s">
        <v>1174</v>
      </c>
    </row>
    <row r="1553" spans="1:10" x14ac:dyDescent="0.25">
      <c r="A1553" s="31" t="s">
        <v>1175</v>
      </c>
      <c r="B1553" s="31">
        <v>43.030299999999997</v>
      </c>
      <c r="C1553" s="32" t="s">
        <v>12531</v>
      </c>
      <c r="D1553" s="31" t="s">
        <v>12465</v>
      </c>
      <c r="E1553" s="40" t="s">
        <v>12532</v>
      </c>
      <c r="F1553" s="38" t="s">
        <v>9590</v>
      </c>
      <c r="G1553" s="34" t="s">
        <v>9594</v>
      </c>
      <c r="I1553" s="44" t="s">
        <v>12526</v>
      </c>
      <c r="J1553" s="36" t="s">
        <v>1175</v>
      </c>
    </row>
    <row r="1554" spans="1:10" x14ac:dyDescent="0.25">
      <c r="A1554" s="31" t="s">
        <v>1176</v>
      </c>
      <c r="B1554" s="31">
        <v>43.0304</v>
      </c>
      <c r="C1554" s="32" t="s">
        <v>12533</v>
      </c>
      <c r="D1554" s="31" t="s">
        <v>12465</v>
      </c>
      <c r="E1554" s="40" t="s">
        <v>12534</v>
      </c>
      <c r="F1554" s="38" t="s">
        <v>9590</v>
      </c>
      <c r="G1554" s="34" t="s">
        <v>9594</v>
      </c>
      <c r="I1554" s="44" t="s">
        <v>12526</v>
      </c>
      <c r="J1554" s="36" t="s">
        <v>1176</v>
      </c>
    </row>
    <row r="1555" spans="1:10" x14ac:dyDescent="0.25">
      <c r="A1555" s="31" t="s">
        <v>1177</v>
      </c>
      <c r="B1555" s="31">
        <v>43.039900000000003</v>
      </c>
      <c r="C1555" s="32" t="s">
        <v>12535</v>
      </c>
      <c r="D1555" s="31" t="s">
        <v>12465</v>
      </c>
      <c r="E1555" s="40" t="s">
        <v>12536</v>
      </c>
      <c r="F1555" s="38" t="s">
        <v>9590</v>
      </c>
      <c r="G1555" s="34" t="s">
        <v>9594</v>
      </c>
      <c r="I1555" s="44" t="s">
        <v>12526</v>
      </c>
      <c r="J1555" s="36" t="s">
        <v>1177</v>
      </c>
    </row>
    <row r="1556" spans="1:10" x14ac:dyDescent="0.25">
      <c r="A1556" s="31" t="s">
        <v>2056</v>
      </c>
      <c r="B1556" s="31">
        <v>43.04</v>
      </c>
      <c r="C1556" s="32" t="s">
        <v>12537</v>
      </c>
      <c r="D1556" s="31" t="s">
        <v>12465</v>
      </c>
      <c r="E1556" s="40" t="s">
        <v>9595</v>
      </c>
      <c r="F1556" s="38" t="s">
        <v>9590</v>
      </c>
      <c r="G1556" s="34" t="s">
        <v>9595</v>
      </c>
      <c r="H1556" s="34" t="s">
        <v>9595</v>
      </c>
      <c r="I1556" s="44" t="s">
        <v>12537</v>
      </c>
      <c r="J1556" s="36" t="s">
        <v>2056</v>
      </c>
    </row>
    <row r="1557" spans="1:10" x14ac:dyDescent="0.25">
      <c r="A1557" s="31" t="s">
        <v>2057</v>
      </c>
      <c r="B1557" s="31">
        <v>43.040100000000002</v>
      </c>
      <c r="C1557" s="32" t="s">
        <v>12538</v>
      </c>
      <c r="D1557" s="31" t="s">
        <v>12465</v>
      </c>
      <c r="E1557" s="40" t="s">
        <v>12539</v>
      </c>
      <c r="F1557" s="38" t="s">
        <v>9590</v>
      </c>
      <c r="G1557" s="34" t="s">
        <v>9595</v>
      </c>
      <c r="I1557" s="44" t="s">
        <v>12537</v>
      </c>
      <c r="J1557" s="36" t="s">
        <v>2057</v>
      </c>
    </row>
    <row r="1558" spans="1:10" x14ac:dyDescent="0.25">
      <c r="A1558" s="31" t="s">
        <v>1151</v>
      </c>
      <c r="B1558" s="31">
        <v>43.040199999999999</v>
      </c>
      <c r="C1558" s="32" t="s">
        <v>12540</v>
      </c>
      <c r="D1558" s="31" t="s">
        <v>12465</v>
      </c>
      <c r="E1558" s="40" t="s">
        <v>12541</v>
      </c>
      <c r="F1558" s="38" t="s">
        <v>9590</v>
      </c>
      <c r="G1558" s="34" t="s">
        <v>9595</v>
      </c>
      <c r="I1558" s="44" t="s">
        <v>12537</v>
      </c>
      <c r="J1558" s="36" t="s">
        <v>1151</v>
      </c>
    </row>
    <row r="1559" spans="1:10" x14ac:dyDescent="0.25">
      <c r="A1559" s="31" t="s">
        <v>1156</v>
      </c>
      <c r="B1559" s="31">
        <v>43.040300000000002</v>
      </c>
      <c r="C1559" s="32" t="s">
        <v>12542</v>
      </c>
      <c r="D1559" s="31" t="s">
        <v>12465</v>
      </c>
      <c r="E1559" s="40" t="s">
        <v>12543</v>
      </c>
      <c r="F1559" s="38" t="s">
        <v>9590</v>
      </c>
      <c r="G1559" s="34" t="s">
        <v>9595</v>
      </c>
      <c r="I1559" s="44" t="s">
        <v>12537</v>
      </c>
      <c r="J1559" s="36" t="s">
        <v>1156</v>
      </c>
    </row>
    <row r="1560" spans="1:10" x14ac:dyDescent="0.25">
      <c r="A1560" s="31" t="s">
        <v>2058</v>
      </c>
      <c r="B1560" s="31">
        <v>43.040399999999998</v>
      </c>
      <c r="C1560" s="32" t="s">
        <v>12544</v>
      </c>
      <c r="D1560" s="31" t="s">
        <v>12465</v>
      </c>
      <c r="E1560" s="40" t="s">
        <v>12545</v>
      </c>
      <c r="F1560" s="38" t="s">
        <v>9590</v>
      </c>
      <c r="G1560" s="34" t="s">
        <v>9595</v>
      </c>
      <c r="I1560" s="44" t="s">
        <v>12537</v>
      </c>
      <c r="J1560" s="36" t="s">
        <v>2058</v>
      </c>
    </row>
    <row r="1561" spans="1:10" x14ac:dyDescent="0.25">
      <c r="A1561" s="31" t="s">
        <v>1157</v>
      </c>
      <c r="B1561" s="31">
        <v>43.040500000000002</v>
      </c>
      <c r="C1561" s="32" t="s">
        <v>12546</v>
      </c>
      <c r="D1561" s="31" t="s">
        <v>12465</v>
      </c>
      <c r="E1561" s="40" t="s">
        <v>12547</v>
      </c>
      <c r="F1561" s="38" t="s">
        <v>9590</v>
      </c>
      <c r="G1561" s="34" t="s">
        <v>9595</v>
      </c>
      <c r="I1561" s="44" t="s">
        <v>12537</v>
      </c>
      <c r="J1561" s="36" t="s">
        <v>1157</v>
      </c>
    </row>
    <row r="1562" spans="1:10" x14ac:dyDescent="0.25">
      <c r="A1562" s="31" t="s">
        <v>1147</v>
      </c>
      <c r="B1562" s="31">
        <v>43.040599999999998</v>
      </c>
      <c r="C1562" s="32" t="s">
        <v>12548</v>
      </c>
      <c r="D1562" s="31" t="s">
        <v>12465</v>
      </c>
      <c r="E1562" s="40" t="s">
        <v>12549</v>
      </c>
      <c r="F1562" s="38" t="s">
        <v>9590</v>
      </c>
      <c r="G1562" s="34" t="s">
        <v>9595</v>
      </c>
      <c r="I1562" s="44" t="s">
        <v>12537</v>
      </c>
      <c r="J1562" s="36" t="s">
        <v>1147</v>
      </c>
    </row>
    <row r="1563" spans="1:10" x14ac:dyDescent="0.25">
      <c r="A1563" s="31" t="s">
        <v>2059</v>
      </c>
      <c r="B1563" s="31">
        <v>43.040700000000001</v>
      </c>
      <c r="C1563" s="32" t="s">
        <v>12550</v>
      </c>
      <c r="D1563" s="31" t="s">
        <v>12465</v>
      </c>
      <c r="E1563" s="40" t="s">
        <v>12551</v>
      </c>
      <c r="F1563" s="38" t="s">
        <v>9590</v>
      </c>
      <c r="G1563" s="34" t="s">
        <v>9595</v>
      </c>
      <c r="I1563" s="44" t="s">
        <v>12537</v>
      </c>
      <c r="J1563" s="36" t="s">
        <v>2059</v>
      </c>
    </row>
    <row r="1564" spans="1:10" x14ac:dyDescent="0.25">
      <c r="A1564" s="31" t="s">
        <v>1158</v>
      </c>
      <c r="B1564" s="31">
        <v>43.040799999999997</v>
      </c>
      <c r="C1564" s="32" t="s">
        <v>12552</v>
      </c>
      <c r="D1564" s="31" t="s">
        <v>12465</v>
      </c>
      <c r="E1564" s="40" t="s">
        <v>12553</v>
      </c>
      <c r="F1564" s="38" t="s">
        <v>9590</v>
      </c>
      <c r="G1564" s="34" t="s">
        <v>9595</v>
      </c>
      <c r="I1564" s="44" t="s">
        <v>12537</v>
      </c>
      <c r="J1564" s="36" t="s">
        <v>1158</v>
      </c>
    </row>
    <row r="1565" spans="1:10" x14ac:dyDescent="0.25">
      <c r="A1565" s="31" t="s">
        <v>2060</v>
      </c>
      <c r="B1565" s="31">
        <v>43.049900000000001</v>
      </c>
      <c r="C1565" s="32" t="s">
        <v>12554</v>
      </c>
      <c r="D1565" s="31" t="s">
        <v>12465</v>
      </c>
      <c r="E1565" s="40" t="s">
        <v>12555</v>
      </c>
      <c r="F1565" s="38" t="s">
        <v>9590</v>
      </c>
      <c r="G1565" s="34" t="s">
        <v>9595</v>
      </c>
      <c r="I1565" s="44" t="s">
        <v>12537</v>
      </c>
      <c r="J1565" s="36" t="s">
        <v>2060</v>
      </c>
    </row>
    <row r="1566" spans="1:10" x14ac:dyDescent="0.25">
      <c r="A1566" s="31" t="s">
        <v>1178</v>
      </c>
      <c r="B1566" s="31">
        <v>43.99</v>
      </c>
      <c r="C1566" s="32" t="s">
        <v>12556</v>
      </c>
      <c r="D1566" s="31" t="s">
        <v>12465</v>
      </c>
      <c r="E1566" s="40" t="s">
        <v>9596</v>
      </c>
      <c r="F1566" s="38" t="s">
        <v>9590</v>
      </c>
      <c r="G1566" s="34" t="s">
        <v>9596</v>
      </c>
      <c r="H1566" s="34" t="s">
        <v>9596</v>
      </c>
      <c r="I1566" s="44" t="s">
        <v>12556</v>
      </c>
      <c r="J1566" s="36" t="s">
        <v>1178</v>
      </c>
    </row>
    <row r="1567" spans="1:10" x14ac:dyDescent="0.25">
      <c r="A1567" s="31" t="s">
        <v>1178</v>
      </c>
      <c r="B1567" s="31">
        <v>43.999899999999997</v>
      </c>
      <c r="C1567" s="32" t="s">
        <v>12557</v>
      </c>
      <c r="D1567" s="31" t="s">
        <v>12465</v>
      </c>
      <c r="E1567" s="40" t="s">
        <v>12558</v>
      </c>
      <c r="F1567" s="38" t="s">
        <v>9590</v>
      </c>
      <c r="G1567" s="34" t="s">
        <v>9596</v>
      </c>
      <c r="I1567" s="44" t="s">
        <v>12556</v>
      </c>
      <c r="J1567" s="36" t="s">
        <v>1178</v>
      </c>
    </row>
    <row r="1568" spans="1:10" x14ac:dyDescent="0.25">
      <c r="A1568" s="31" t="s">
        <v>1180</v>
      </c>
      <c r="B1568" s="31">
        <v>44</v>
      </c>
      <c r="C1568" s="32" t="s">
        <v>12559</v>
      </c>
      <c r="D1568" s="31" t="s">
        <v>12560</v>
      </c>
      <c r="E1568" s="40" t="s">
        <v>9597</v>
      </c>
      <c r="F1568" s="42" t="s">
        <v>9116</v>
      </c>
      <c r="G1568" s="34" t="s">
        <v>9597</v>
      </c>
      <c r="H1568" s="34" t="s">
        <v>9597</v>
      </c>
      <c r="I1568" s="44" t="s">
        <v>12559</v>
      </c>
      <c r="J1568" s="36" t="s">
        <v>1180</v>
      </c>
    </row>
    <row r="1569" spans="1:10" x14ac:dyDescent="0.25">
      <c r="A1569" s="31" t="s">
        <v>1180</v>
      </c>
      <c r="B1569" s="31">
        <v>44</v>
      </c>
      <c r="C1569" s="32" t="s">
        <v>12561</v>
      </c>
      <c r="D1569" s="31" t="s">
        <v>12560</v>
      </c>
      <c r="E1569" s="40" t="s">
        <v>12562</v>
      </c>
      <c r="F1569" s="42" t="s">
        <v>9116</v>
      </c>
      <c r="G1569" s="34" t="s">
        <v>9597</v>
      </c>
      <c r="I1569" s="44" t="s">
        <v>12559</v>
      </c>
      <c r="J1569" s="36" t="s">
        <v>1180</v>
      </c>
    </row>
    <row r="1570" spans="1:10" x14ac:dyDescent="0.25">
      <c r="A1570" s="31" t="s">
        <v>1179</v>
      </c>
      <c r="B1570" s="31">
        <v>44</v>
      </c>
      <c r="C1570" s="32" t="s">
        <v>12560</v>
      </c>
      <c r="D1570" s="31" t="s">
        <v>12560</v>
      </c>
      <c r="E1570" s="40" t="s">
        <v>9598</v>
      </c>
      <c r="F1570" s="42" t="s">
        <v>9116</v>
      </c>
      <c r="G1570" s="34" t="s">
        <v>9598</v>
      </c>
      <c r="H1570" s="34" t="s">
        <v>9598</v>
      </c>
      <c r="I1570" s="45" t="s">
        <v>12560</v>
      </c>
      <c r="J1570" s="36" t="s">
        <v>1179</v>
      </c>
    </row>
    <row r="1571" spans="1:10" x14ac:dyDescent="0.25">
      <c r="A1571" s="31" t="s">
        <v>1181</v>
      </c>
      <c r="B1571" s="31">
        <v>44.02</v>
      </c>
      <c r="C1571" s="32" t="s">
        <v>12563</v>
      </c>
      <c r="D1571" s="31" t="s">
        <v>12560</v>
      </c>
      <c r="E1571" s="40" t="s">
        <v>9599</v>
      </c>
      <c r="F1571" s="42" t="s">
        <v>9116</v>
      </c>
      <c r="G1571" s="34" t="s">
        <v>9599</v>
      </c>
      <c r="H1571" s="34" t="s">
        <v>9599</v>
      </c>
      <c r="I1571" s="44" t="s">
        <v>12563</v>
      </c>
      <c r="J1571" s="36" t="s">
        <v>1181</v>
      </c>
    </row>
    <row r="1572" spans="1:10" x14ac:dyDescent="0.25">
      <c r="A1572" s="31" t="s">
        <v>1181</v>
      </c>
      <c r="B1572" s="31">
        <v>44.020099999999999</v>
      </c>
      <c r="C1572" s="32" t="s">
        <v>12564</v>
      </c>
      <c r="D1572" s="31" t="s">
        <v>12560</v>
      </c>
      <c r="E1572" s="40" t="s">
        <v>12565</v>
      </c>
      <c r="F1572" s="42" t="s">
        <v>9116</v>
      </c>
      <c r="G1572" s="34" t="s">
        <v>9599</v>
      </c>
      <c r="I1572" s="44" t="s">
        <v>12563</v>
      </c>
      <c r="J1572" s="36" t="s">
        <v>1181</v>
      </c>
    </row>
    <row r="1573" spans="1:10" x14ac:dyDescent="0.25">
      <c r="A1573" s="31" t="s">
        <v>1182</v>
      </c>
      <c r="B1573" s="31">
        <v>44.04</v>
      </c>
      <c r="C1573" s="32" t="s">
        <v>12566</v>
      </c>
      <c r="D1573" s="31" t="s">
        <v>12560</v>
      </c>
      <c r="E1573" s="40" t="s">
        <v>9600</v>
      </c>
      <c r="F1573" s="42" t="s">
        <v>9116</v>
      </c>
      <c r="G1573" s="34" t="s">
        <v>9600</v>
      </c>
      <c r="H1573" s="34" t="s">
        <v>9600</v>
      </c>
      <c r="I1573" s="44" t="s">
        <v>12566</v>
      </c>
      <c r="J1573" s="36" t="s">
        <v>1182</v>
      </c>
    </row>
    <row r="1574" spans="1:10" x14ac:dyDescent="0.25">
      <c r="A1574" s="31" t="s">
        <v>1182</v>
      </c>
      <c r="B1574" s="31">
        <v>44.040100000000002</v>
      </c>
      <c r="C1574" s="32" t="s">
        <v>12567</v>
      </c>
      <c r="D1574" s="31" t="s">
        <v>12560</v>
      </c>
      <c r="E1574" s="40" t="s">
        <v>12568</v>
      </c>
      <c r="F1574" s="42" t="s">
        <v>9116</v>
      </c>
      <c r="G1574" s="34" t="s">
        <v>9600</v>
      </c>
      <c r="I1574" s="44" t="s">
        <v>12566</v>
      </c>
      <c r="J1574" s="36" t="s">
        <v>1182</v>
      </c>
    </row>
    <row r="1575" spans="1:10" x14ac:dyDescent="0.25">
      <c r="A1575" s="31" t="s">
        <v>2061</v>
      </c>
      <c r="B1575" s="31">
        <v>44.040199999999999</v>
      </c>
      <c r="C1575" s="32" t="s">
        <v>12569</v>
      </c>
      <c r="D1575" s="31" t="s">
        <v>12560</v>
      </c>
      <c r="E1575" s="40" t="s">
        <v>12570</v>
      </c>
      <c r="F1575" s="42" t="s">
        <v>9116</v>
      </c>
      <c r="G1575" s="34" t="s">
        <v>9600</v>
      </c>
      <c r="I1575" s="44" t="s">
        <v>12566</v>
      </c>
      <c r="J1575" s="36" t="s">
        <v>2061</v>
      </c>
    </row>
    <row r="1576" spans="1:10" x14ac:dyDescent="0.25">
      <c r="A1576" s="31" t="s">
        <v>2062</v>
      </c>
      <c r="B1576" s="31">
        <v>44.040300000000002</v>
      </c>
      <c r="C1576" s="32" t="s">
        <v>12571</v>
      </c>
      <c r="D1576" s="31" t="s">
        <v>12560</v>
      </c>
      <c r="E1576" s="40" t="s">
        <v>12572</v>
      </c>
      <c r="F1576" s="42" t="s">
        <v>9116</v>
      </c>
      <c r="G1576" s="34" t="s">
        <v>9600</v>
      </c>
      <c r="I1576" s="44" t="s">
        <v>12566</v>
      </c>
      <c r="J1576" s="36" t="s">
        <v>2062</v>
      </c>
    </row>
    <row r="1577" spans="1:10" x14ac:dyDescent="0.25">
      <c r="A1577" s="31" t="s">
        <v>2063</v>
      </c>
      <c r="B1577" s="31">
        <v>44.049900000000001</v>
      </c>
      <c r="C1577" s="32" t="s">
        <v>12573</v>
      </c>
      <c r="D1577" s="31" t="s">
        <v>12560</v>
      </c>
      <c r="E1577" s="40" t="s">
        <v>12574</v>
      </c>
      <c r="F1577" s="42" t="s">
        <v>9116</v>
      </c>
      <c r="G1577" s="34" t="s">
        <v>9600</v>
      </c>
      <c r="I1577" s="44" t="s">
        <v>12566</v>
      </c>
      <c r="J1577" s="36" t="s">
        <v>2063</v>
      </c>
    </row>
    <row r="1578" spans="1:10" x14ac:dyDescent="0.25">
      <c r="A1578" s="31" t="s">
        <v>1183</v>
      </c>
      <c r="B1578" s="31">
        <v>44.05</v>
      </c>
      <c r="C1578" s="32" t="s">
        <v>12575</v>
      </c>
      <c r="D1578" s="31" t="s">
        <v>12560</v>
      </c>
      <c r="E1578" s="40" t="s">
        <v>9601</v>
      </c>
      <c r="F1578" s="42" t="s">
        <v>9116</v>
      </c>
      <c r="G1578" s="34" t="s">
        <v>9601</v>
      </c>
      <c r="H1578" s="34" t="s">
        <v>9601</v>
      </c>
      <c r="I1578" s="44" t="s">
        <v>12575</v>
      </c>
      <c r="J1578" s="36" t="s">
        <v>1183</v>
      </c>
    </row>
    <row r="1579" spans="1:10" x14ac:dyDescent="0.25">
      <c r="A1579" s="31" t="s">
        <v>1184</v>
      </c>
      <c r="B1579" s="31">
        <v>44.0501</v>
      </c>
      <c r="C1579" s="32" t="s">
        <v>12576</v>
      </c>
      <c r="D1579" s="31" t="s">
        <v>12560</v>
      </c>
      <c r="E1579" s="40" t="s">
        <v>12577</v>
      </c>
      <c r="F1579" s="42" t="s">
        <v>9116</v>
      </c>
      <c r="G1579" s="34" t="s">
        <v>9601</v>
      </c>
      <c r="I1579" s="44" t="s">
        <v>12575</v>
      </c>
      <c r="J1579" s="36" t="s">
        <v>1184</v>
      </c>
    </row>
    <row r="1580" spans="1:10" x14ac:dyDescent="0.25">
      <c r="A1580" s="31" t="s">
        <v>1185</v>
      </c>
      <c r="B1580" s="31">
        <v>44.050199999999997</v>
      </c>
      <c r="C1580" s="32" t="s">
        <v>12578</v>
      </c>
      <c r="D1580" s="31" t="s">
        <v>12560</v>
      </c>
      <c r="E1580" s="40" t="s">
        <v>12579</v>
      </c>
      <c r="F1580" s="42" t="s">
        <v>9116</v>
      </c>
      <c r="G1580" s="34" t="s">
        <v>9601</v>
      </c>
      <c r="I1580" s="44" t="s">
        <v>12575</v>
      </c>
      <c r="J1580" s="36" t="s">
        <v>1185</v>
      </c>
    </row>
    <row r="1581" spans="1:10" x14ac:dyDescent="0.25">
      <c r="A1581" s="31" t="s">
        <v>1186</v>
      </c>
      <c r="B1581" s="31">
        <v>44.0503</v>
      </c>
      <c r="C1581" s="32" t="s">
        <v>12580</v>
      </c>
      <c r="D1581" s="31" t="s">
        <v>12560</v>
      </c>
      <c r="E1581" s="40" t="s">
        <v>12581</v>
      </c>
      <c r="F1581" s="42" t="s">
        <v>9116</v>
      </c>
      <c r="G1581" s="34" t="s">
        <v>9601</v>
      </c>
      <c r="I1581" s="44" t="s">
        <v>12575</v>
      </c>
      <c r="J1581" s="36" t="s">
        <v>1186</v>
      </c>
    </row>
    <row r="1582" spans="1:10" x14ac:dyDescent="0.25">
      <c r="A1582" s="31" t="s">
        <v>1187</v>
      </c>
      <c r="B1582" s="31">
        <v>44.050400000000003</v>
      </c>
      <c r="C1582" s="32" t="s">
        <v>12582</v>
      </c>
      <c r="D1582" s="31" t="s">
        <v>12560</v>
      </c>
      <c r="E1582" s="40" t="s">
        <v>12583</v>
      </c>
      <c r="F1582" s="42" t="s">
        <v>9116</v>
      </c>
      <c r="G1582" s="34" t="s">
        <v>9601</v>
      </c>
      <c r="I1582" s="44" t="s">
        <v>12575</v>
      </c>
      <c r="J1582" s="36" t="s">
        <v>1187</v>
      </c>
    </row>
    <row r="1583" spans="1:10" x14ac:dyDescent="0.25">
      <c r="A1583" s="31" t="s">
        <v>1793</v>
      </c>
      <c r="B1583" s="31">
        <v>44.058</v>
      </c>
      <c r="C1583" s="32" t="s">
        <v>12584</v>
      </c>
      <c r="D1583" s="31" t="s">
        <v>12560</v>
      </c>
      <c r="E1583" s="40" t="s">
        <v>12585</v>
      </c>
      <c r="F1583" s="42" t="s">
        <v>9116</v>
      </c>
      <c r="G1583" s="34" t="s">
        <v>9601</v>
      </c>
      <c r="I1583" s="44" t="s">
        <v>12575</v>
      </c>
      <c r="J1583" s="36" t="s">
        <v>1793</v>
      </c>
    </row>
    <row r="1584" spans="1:10" x14ac:dyDescent="0.25">
      <c r="A1584" s="31" t="s">
        <v>1188</v>
      </c>
      <c r="B1584" s="31">
        <v>44.059899999999999</v>
      </c>
      <c r="C1584" s="32" t="s">
        <v>12586</v>
      </c>
      <c r="D1584" s="31" t="s">
        <v>12560</v>
      </c>
      <c r="E1584" s="40" t="s">
        <v>12587</v>
      </c>
      <c r="F1584" s="42" t="s">
        <v>9116</v>
      </c>
      <c r="G1584" s="34" t="s">
        <v>9601</v>
      </c>
      <c r="I1584" s="44" t="s">
        <v>12575</v>
      </c>
      <c r="J1584" s="36" t="s">
        <v>1188</v>
      </c>
    </row>
    <row r="1585" spans="1:10" x14ac:dyDescent="0.25">
      <c r="A1585" s="31" t="s">
        <v>1189</v>
      </c>
      <c r="B1585" s="31">
        <v>44.07</v>
      </c>
      <c r="C1585" s="32" t="s">
        <v>12588</v>
      </c>
      <c r="D1585" s="31" t="s">
        <v>12560</v>
      </c>
      <c r="E1585" s="40" t="s">
        <v>9602</v>
      </c>
      <c r="F1585" s="42" t="s">
        <v>9116</v>
      </c>
      <c r="G1585" s="34" t="s">
        <v>9602</v>
      </c>
      <c r="H1585" s="34" t="s">
        <v>9602</v>
      </c>
      <c r="I1585" s="44" t="s">
        <v>12588</v>
      </c>
      <c r="J1585" s="36" t="s">
        <v>1189</v>
      </c>
    </row>
    <row r="1586" spans="1:10" x14ac:dyDescent="0.25">
      <c r="A1586" s="31" t="s">
        <v>1189</v>
      </c>
      <c r="B1586" s="31">
        <v>44.070099999999996</v>
      </c>
      <c r="C1586" s="32" t="s">
        <v>12589</v>
      </c>
      <c r="D1586" s="31" t="s">
        <v>12560</v>
      </c>
      <c r="E1586" s="40" t="s">
        <v>12590</v>
      </c>
      <c r="F1586" s="42" t="s">
        <v>9116</v>
      </c>
      <c r="G1586" s="34" t="s">
        <v>9602</v>
      </c>
      <c r="I1586" s="44" t="s">
        <v>12588</v>
      </c>
      <c r="J1586" s="36" t="s">
        <v>1189</v>
      </c>
    </row>
    <row r="1587" spans="1:10" x14ac:dyDescent="0.25">
      <c r="A1587" s="31" t="s">
        <v>1190</v>
      </c>
      <c r="B1587" s="31">
        <v>44.0702</v>
      </c>
      <c r="C1587" s="32" t="s">
        <v>12591</v>
      </c>
      <c r="D1587" s="31" t="s">
        <v>12560</v>
      </c>
      <c r="E1587" s="40" t="s">
        <v>12592</v>
      </c>
      <c r="F1587" s="42" t="s">
        <v>9116</v>
      </c>
      <c r="G1587" s="34" t="s">
        <v>9602</v>
      </c>
      <c r="I1587" s="44" t="s">
        <v>12588</v>
      </c>
      <c r="J1587" s="36" t="s">
        <v>1190</v>
      </c>
    </row>
    <row r="1588" spans="1:10" x14ac:dyDescent="0.25">
      <c r="A1588" s="31" t="s">
        <v>2064</v>
      </c>
      <c r="B1588" s="31">
        <v>44.070300000000003</v>
      </c>
      <c r="C1588" s="32" t="s">
        <v>12593</v>
      </c>
      <c r="D1588" s="31" t="s">
        <v>12560</v>
      </c>
      <c r="E1588" s="40" t="s">
        <v>12594</v>
      </c>
      <c r="F1588" s="42" t="s">
        <v>9116</v>
      </c>
      <c r="G1588" s="34" t="s">
        <v>9602</v>
      </c>
      <c r="I1588" s="44" t="s">
        <v>12588</v>
      </c>
      <c r="J1588" s="36" t="s">
        <v>2064</v>
      </c>
    </row>
    <row r="1589" spans="1:10" x14ac:dyDescent="0.25">
      <c r="A1589" s="31" t="s">
        <v>1191</v>
      </c>
      <c r="B1589" s="31">
        <v>44.079900000000002</v>
      </c>
      <c r="C1589" s="32" t="s">
        <v>12595</v>
      </c>
      <c r="D1589" s="31" t="s">
        <v>12560</v>
      </c>
      <c r="E1589" s="40" t="s">
        <v>12596</v>
      </c>
      <c r="F1589" s="42" t="s">
        <v>9116</v>
      </c>
      <c r="G1589" s="34" t="s">
        <v>9602</v>
      </c>
      <c r="I1589" s="44" t="s">
        <v>12588</v>
      </c>
      <c r="J1589" s="36" t="s">
        <v>1191</v>
      </c>
    </row>
    <row r="1590" spans="1:10" x14ac:dyDescent="0.25">
      <c r="A1590" s="31" t="s">
        <v>1192</v>
      </c>
      <c r="B1590" s="31">
        <v>44.99</v>
      </c>
      <c r="C1590" s="32" t="s">
        <v>12597</v>
      </c>
      <c r="D1590" s="31" t="s">
        <v>12560</v>
      </c>
      <c r="E1590" s="40" t="s">
        <v>9603</v>
      </c>
      <c r="F1590" s="42" t="s">
        <v>9116</v>
      </c>
      <c r="G1590" s="34" t="s">
        <v>9603</v>
      </c>
      <c r="H1590" s="34" t="s">
        <v>9603</v>
      </c>
      <c r="I1590" s="44" t="s">
        <v>12597</v>
      </c>
      <c r="J1590" s="36" t="s">
        <v>1192</v>
      </c>
    </row>
    <row r="1591" spans="1:10" x14ac:dyDescent="0.25">
      <c r="A1591" s="31" t="s">
        <v>1192</v>
      </c>
      <c r="B1591" s="31">
        <v>44.999899999999997</v>
      </c>
      <c r="C1591" s="32" t="s">
        <v>12598</v>
      </c>
      <c r="D1591" s="31" t="s">
        <v>12560</v>
      </c>
      <c r="E1591" s="40" t="s">
        <v>12599</v>
      </c>
      <c r="F1591" s="42" t="s">
        <v>9116</v>
      </c>
      <c r="G1591" s="34" t="s">
        <v>9603</v>
      </c>
      <c r="I1591" s="44" t="s">
        <v>12597</v>
      </c>
      <c r="J1591" s="36" t="s">
        <v>1192</v>
      </c>
    </row>
    <row r="1592" spans="1:10" x14ac:dyDescent="0.25">
      <c r="A1592" s="31" t="s">
        <v>1193</v>
      </c>
      <c r="B1592" s="31">
        <v>45</v>
      </c>
      <c r="C1592" s="32" t="s">
        <v>12600</v>
      </c>
      <c r="D1592" s="31" t="s">
        <v>12600</v>
      </c>
      <c r="E1592" s="40" t="s">
        <v>9605</v>
      </c>
      <c r="F1592" s="38" t="s">
        <v>9604</v>
      </c>
      <c r="G1592" s="34" t="s">
        <v>9605</v>
      </c>
      <c r="H1592" s="34" t="s">
        <v>9605</v>
      </c>
      <c r="I1592" s="45" t="s">
        <v>12600</v>
      </c>
      <c r="J1592" s="36" t="s">
        <v>1193</v>
      </c>
    </row>
    <row r="1593" spans="1:10" x14ac:dyDescent="0.25">
      <c r="A1593" s="31" t="s">
        <v>1194</v>
      </c>
      <c r="B1593" s="31">
        <v>45.01</v>
      </c>
      <c r="C1593" s="32" t="s">
        <v>12601</v>
      </c>
      <c r="D1593" s="31" t="s">
        <v>12600</v>
      </c>
      <c r="E1593" s="40" t="s">
        <v>9606</v>
      </c>
      <c r="F1593" s="38" t="s">
        <v>9604</v>
      </c>
      <c r="G1593" s="34" t="s">
        <v>9606</v>
      </c>
      <c r="H1593" s="34" t="s">
        <v>9606</v>
      </c>
      <c r="I1593" s="44" t="s">
        <v>12601</v>
      </c>
      <c r="J1593" s="36" t="s">
        <v>1194</v>
      </c>
    </row>
    <row r="1594" spans="1:10" x14ac:dyDescent="0.25">
      <c r="A1594" s="31" t="s">
        <v>1194</v>
      </c>
      <c r="B1594" s="31">
        <v>45.010100000000001</v>
      </c>
      <c r="C1594" s="32" t="s">
        <v>12602</v>
      </c>
      <c r="D1594" s="31" t="s">
        <v>12600</v>
      </c>
      <c r="E1594" s="40" t="s">
        <v>12603</v>
      </c>
      <c r="F1594" s="38" t="s">
        <v>9604</v>
      </c>
      <c r="G1594" s="34" t="s">
        <v>9606</v>
      </c>
      <c r="I1594" s="44" t="s">
        <v>12601</v>
      </c>
      <c r="J1594" s="36" t="s">
        <v>1194</v>
      </c>
    </row>
    <row r="1595" spans="1:10" x14ac:dyDescent="0.25">
      <c r="A1595" s="31" t="s">
        <v>1195</v>
      </c>
      <c r="B1595" s="31">
        <v>45.010199999999998</v>
      </c>
      <c r="C1595" s="32" t="s">
        <v>12604</v>
      </c>
      <c r="D1595" s="31" t="s">
        <v>12600</v>
      </c>
      <c r="E1595" s="40" t="s">
        <v>12605</v>
      </c>
      <c r="F1595" s="38" t="s">
        <v>9604</v>
      </c>
      <c r="G1595" s="34" t="s">
        <v>9606</v>
      </c>
      <c r="I1595" s="44" t="s">
        <v>12601</v>
      </c>
      <c r="J1595" s="36" t="s">
        <v>1195</v>
      </c>
    </row>
    <row r="1596" spans="1:10" x14ac:dyDescent="0.25">
      <c r="A1596" s="31" t="s">
        <v>2065</v>
      </c>
      <c r="B1596" s="31">
        <v>45.010300000000001</v>
      </c>
      <c r="C1596" s="32" t="s">
        <v>12606</v>
      </c>
      <c r="D1596" s="31" t="s">
        <v>12600</v>
      </c>
      <c r="E1596" s="40" t="s">
        <v>12607</v>
      </c>
      <c r="F1596" s="38" t="s">
        <v>9604</v>
      </c>
      <c r="G1596" s="34" t="s">
        <v>9606</v>
      </c>
      <c r="I1596" s="44" t="s">
        <v>12601</v>
      </c>
      <c r="J1596" s="36" t="s">
        <v>2065</v>
      </c>
    </row>
    <row r="1597" spans="1:10" x14ac:dyDescent="0.25">
      <c r="A1597" s="31" t="s">
        <v>1229</v>
      </c>
      <c r="B1597" s="31">
        <v>45.0199</v>
      </c>
      <c r="C1597" s="32" t="s">
        <v>12608</v>
      </c>
      <c r="D1597" s="31" t="s">
        <v>12600</v>
      </c>
      <c r="E1597" s="40" t="s">
        <v>12609</v>
      </c>
      <c r="F1597" s="38" t="s">
        <v>9604</v>
      </c>
      <c r="G1597" s="34" t="s">
        <v>9606</v>
      </c>
      <c r="I1597" s="44" t="s">
        <v>12601</v>
      </c>
      <c r="J1597" s="36" t="s">
        <v>1229</v>
      </c>
    </row>
    <row r="1598" spans="1:10" x14ac:dyDescent="0.25">
      <c r="A1598" s="31" t="s">
        <v>1196</v>
      </c>
      <c r="B1598" s="31">
        <v>45.02</v>
      </c>
      <c r="C1598" s="32" t="s">
        <v>12610</v>
      </c>
      <c r="D1598" s="31" t="s">
        <v>12600</v>
      </c>
      <c r="E1598" s="40" t="s">
        <v>9607</v>
      </c>
      <c r="F1598" s="38" t="s">
        <v>9604</v>
      </c>
      <c r="G1598" s="34" t="s">
        <v>9607</v>
      </c>
      <c r="H1598" s="34" t="s">
        <v>9607</v>
      </c>
      <c r="I1598" s="44" t="s">
        <v>12610</v>
      </c>
      <c r="J1598" s="36" t="s">
        <v>1196</v>
      </c>
    </row>
    <row r="1599" spans="1:10" x14ac:dyDescent="0.25">
      <c r="A1599" s="31" t="s">
        <v>2066</v>
      </c>
      <c r="B1599" s="31">
        <v>45.020099999999999</v>
      </c>
      <c r="C1599" s="32" t="s">
        <v>12611</v>
      </c>
      <c r="D1599" s="31" t="s">
        <v>12600</v>
      </c>
      <c r="E1599" s="40" t="s">
        <v>12612</v>
      </c>
      <c r="F1599" s="38" t="s">
        <v>9604</v>
      </c>
      <c r="G1599" s="34" t="s">
        <v>9607</v>
      </c>
      <c r="I1599" s="44" t="s">
        <v>12610</v>
      </c>
      <c r="J1599" s="36" t="s">
        <v>2066</v>
      </c>
    </row>
    <row r="1600" spans="1:10" x14ac:dyDescent="0.25">
      <c r="A1600" s="31" t="s">
        <v>1197</v>
      </c>
      <c r="B1600" s="31">
        <v>45.020200000000003</v>
      </c>
      <c r="C1600" s="32" t="s">
        <v>12613</v>
      </c>
      <c r="D1600" s="31" t="s">
        <v>12600</v>
      </c>
      <c r="E1600" s="40" t="s">
        <v>12614</v>
      </c>
      <c r="F1600" s="38" t="s">
        <v>9604</v>
      </c>
      <c r="G1600" s="34" t="s">
        <v>9607</v>
      </c>
      <c r="I1600" s="44" t="s">
        <v>12610</v>
      </c>
      <c r="J1600" s="36" t="s">
        <v>1197</v>
      </c>
    </row>
    <row r="1601" spans="1:10" x14ac:dyDescent="0.25">
      <c r="A1601" s="31" t="s">
        <v>1198</v>
      </c>
      <c r="B1601" s="31">
        <v>45.020299999999999</v>
      </c>
      <c r="C1601" s="32" t="s">
        <v>12615</v>
      </c>
      <c r="D1601" s="31" t="s">
        <v>12600</v>
      </c>
      <c r="E1601" s="40" t="s">
        <v>12616</v>
      </c>
      <c r="F1601" s="38" t="s">
        <v>9604</v>
      </c>
      <c r="G1601" s="34" t="s">
        <v>9607</v>
      </c>
      <c r="I1601" s="44" t="s">
        <v>12610</v>
      </c>
      <c r="J1601" s="36" t="s">
        <v>1198</v>
      </c>
    </row>
    <row r="1602" spans="1:10" x14ac:dyDescent="0.25">
      <c r="A1602" s="31" t="s">
        <v>1199</v>
      </c>
      <c r="B1602" s="31">
        <v>45.020400000000002</v>
      </c>
      <c r="C1602" s="32" t="s">
        <v>12617</v>
      </c>
      <c r="D1602" s="31" t="s">
        <v>12600</v>
      </c>
      <c r="E1602" s="40" t="s">
        <v>12618</v>
      </c>
      <c r="F1602" s="38" t="s">
        <v>9604</v>
      </c>
      <c r="G1602" s="34" t="s">
        <v>9607</v>
      </c>
      <c r="I1602" s="44" t="s">
        <v>12610</v>
      </c>
      <c r="J1602" s="36" t="s">
        <v>1199</v>
      </c>
    </row>
    <row r="1603" spans="1:10" x14ac:dyDescent="0.25">
      <c r="A1603" s="31" t="s">
        <v>2067</v>
      </c>
      <c r="B1603" s="31">
        <v>45.020499999999998</v>
      </c>
      <c r="C1603" s="32" t="s">
        <v>12619</v>
      </c>
      <c r="D1603" s="31" t="s">
        <v>12600</v>
      </c>
      <c r="E1603" s="40" t="s">
        <v>12620</v>
      </c>
      <c r="F1603" s="38" t="s">
        <v>9604</v>
      </c>
      <c r="G1603" s="34" t="s">
        <v>9607</v>
      </c>
      <c r="I1603" s="44" t="s">
        <v>12610</v>
      </c>
      <c r="J1603" s="36" t="s">
        <v>2067</v>
      </c>
    </row>
    <row r="1604" spans="1:10" x14ac:dyDescent="0.25">
      <c r="A1604" s="31" t="s">
        <v>1200</v>
      </c>
      <c r="B1604" s="31">
        <v>45.029899999999998</v>
      </c>
      <c r="C1604" s="32" t="s">
        <v>12621</v>
      </c>
      <c r="D1604" s="31" t="s">
        <v>12600</v>
      </c>
      <c r="E1604" s="40" t="s">
        <v>12622</v>
      </c>
      <c r="F1604" s="38" t="s">
        <v>9604</v>
      </c>
      <c r="G1604" s="34" t="s">
        <v>9607</v>
      </c>
      <c r="I1604" s="44" t="s">
        <v>12610</v>
      </c>
      <c r="J1604" s="36" t="s">
        <v>1200</v>
      </c>
    </row>
    <row r="1605" spans="1:10" x14ac:dyDescent="0.25">
      <c r="A1605" s="31" t="s">
        <v>1201</v>
      </c>
      <c r="B1605" s="31">
        <v>45.03</v>
      </c>
      <c r="C1605" s="32" t="s">
        <v>12623</v>
      </c>
      <c r="D1605" s="31" t="s">
        <v>12600</v>
      </c>
      <c r="E1605" s="40" t="s">
        <v>9608</v>
      </c>
      <c r="F1605" s="38" t="s">
        <v>9604</v>
      </c>
      <c r="G1605" s="34" t="s">
        <v>9608</v>
      </c>
      <c r="H1605" s="34" t="s">
        <v>9608</v>
      </c>
      <c r="I1605" s="44" t="s">
        <v>12623</v>
      </c>
      <c r="J1605" s="36" t="s">
        <v>1201</v>
      </c>
    </row>
    <row r="1606" spans="1:10" x14ac:dyDescent="0.25">
      <c r="A1606" s="31" t="s">
        <v>1201</v>
      </c>
      <c r="B1606" s="31">
        <v>45.030099999999997</v>
      </c>
      <c r="C1606" s="32" t="s">
        <v>12624</v>
      </c>
      <c r="D1606" s="31" t="s">
        <v>12600</v>
      </c>
      <c r="E1606" s="40" t="s">
        <v>12625</v>
      </c>
      <c r="F1606" s="38" t="s">
        <v>9604</v>
      </c>
      <c r="G1606" s="34" t="s">
        <v>9608</v>
      </c>
      <c r="I1606" s="44" t="s">
        <v>12623</v>
      </c>
      <c r="J1606" s="36" t="s">
        <v>1201</v>
      </c>
    </row>
    <row r="1607" spans="1:10" x14ac:dyDescent="0.25">
      <c r="A1607" s="31" t="s">
        <v>1202</v>
      </c>
      <c r="B1607" s="31">
        <v>45.04</v>
      </c>
      <c r="C1607" s="32" t="s">
        <v>12626</v>
      </c>
      <c r="D1607" s="31" t="s">
        <v>12600</v>
      </c>
      <c r="E1607" s="40" t="s">
        <v>9609</v>
      </c>
      <c r="F1607" s="38" t="s">
        <v>9604</v>
      </c>
      <c r="G1607" s="34" t="s">
        <v>9609</v>
      </c>
      <c r="H1607" s="34" t="s">
        <v>9609</v>
      </c>
      <c r="I1607" s="44" t="s">
        <v>12626</v>
      </c>
      <c r="J1607" s="36" t="s">
        <v>1202</v>
      </c>
    </row>
    <row r="1608" spans="1:10" x14ac:dyDescent="0.25">
      <c r="A1608" s="31" t="s">
        <v>1202</v>
      </c>
      <c r="B1608" s="31">
        <v>45.040100000000002</v>
      </c>
      <c r="C1608" s="32" t="s">
        <v>12627</v>
      </c>
      <c r="D1608" s="31" t="s">
        <v>12600</v>
      </c>
      <c r="E1608" s="40" t="s">
        <v>12628</v>
      </c>
      <c r="F1608" s="38" t="s">
        <v>9604</v>
      </c>
      <c r="G1608" s="34" t="s">
        <v>9609</v>
      </c>
      <c r="I1608" s="44" t="s">
        <v>12626</v>
      </c>
      <c r="J1608" s="36" t="s">
        <v>1202</v>
      </c>
    </row>
    <row r="1609" spans="1:10" x14ac:dyDescent="0.25">
      <c r="A1609" s="31" t="s">
        <v>2068</v>
      </c>
      <c r="B1609" s="31">
        <v>45.05</v>
      </c>
      <c r="C1609" s="32" t="s">
        <v>12629</v>
      </c>
      <c r="D1609" s="31" t="s">
        <v>12600</v>
      </c>
      <c r="E1609" s="40" t="s">
        <v>9610</v>
      </c>
      <c r="F1609" s="38" t="s">
        <v>9604</v>
      </c>
      <c r="G1609" s="34" t="s">
        <v>9610</v>
      </c>
      <c r="H1609" s="34" t="s">
        <v>9610</v>
      </c>
      <c r="I1609" s="35" t="s">
        <v>12629</v>
      </c>
      <c r="J1609" s="36" t="s">
        <v>2068</v>
      </c>
    </row>
    <row r="1610" spans="1:10" x14ac:dyDescent="0.25">
      <c r="A1610" s="31" t="s">
        <v>1203</v>
      </c>
      <c r="B1610" s="31">
        <v>45.0501</v>
      </c>
      <c r="C1610" s="32" t="s">
        <v>12630</v>
      </c>
      <c r="D1610" s="31" t="s">
        <v>12600</v>
      </c>
      <c r="E1610" s="40" t="s">
        <v>12631</v>
      </c>
      <c r="F1610" s="38" t="s">
        <v>9604</v>
      </c>
      <c r="G1610" s="34" t="s">
        <v>9610</v>
      </c>
      <c r="I1610" s="35" t="s">
        <v>12629</v>
      </c>
      <c r="J1610" s="36" t="s">
        <v>1203</v>
      </c>
    </row>
    <row r="1611" spans="1:10" x14ac:dyDescent="0.25">
      <c r="A1611" s="31" t="s">
        <v>2069</v>
      </c>
      <c r="B1611" s="31">
        <v>45.050199999999997</v>
      </c>
      <c r="C1611" s="32" t="s">
        <v>12632</v>
      </c>
      <c r="D1611" s="31" t="s">
        <v>12600</v>
      </c>
      <c r="E1611" s="40" t="s">
        <v>12633</v>
      </c>
      <c r="F1611" s="38" t="s">
        <v>9604</v>
      </c>
      <c r="G1611" s="34" t="s">
        <v>9610</v>
      </c>
      <c r="I1611" s="35" t="s">
        <v>12629</v>
      </c>
      <c r="J1611" s="36" t="s">
        <v>2069</v>
      </c>
    </row>
    <row r="1612" spans="1:10" x14ac:dyDescent="0.25">
      <c r="A1612" s="31" t="s">
        <v>2070</v>
      </c>
      <c r="B1612" s="31">
        <v>45.059899999999999</v>
      </c>
      <c r="C1612" s="32" t="s">
        <v>12634</v>
      </c>
      <c r="D1612" s="31" t="s">
        <v>12600</v>
      </c>
      <c r="E1612" s="40" t="s">
        <v>12635</v>
      </c>
      <c r="F1612" s="38" t="s">
        <v>9604</v>
      </c>
      <c r="G1612" s="34" t="s">
        <v>9610</v>
      </c>
      <c r="I1612" s="35" t="s">
        <v>12629</v>
      </c>
      <c r="J1612" s="36" t="s">
        <v>2070</v>
      </c>
    </row>
    <row r="1613" spans="1:10" x14ac:dyDescent="0.25">
      <c r="A1613" s="31" t="s">
        <v>1204</v>
      </c>
      <c r="B1613" s="31">
        <v>45.06</v>
      </c>
      <c r="C1613" s="32" t="s">
        <v>12636</v>
      </c>
      <c r="D1613" s="31" t="s">
        <v>12600</v>
      </c>
      <c r="E1613" s="40" t="s">
        <v>9611</v>
      </c>
      <c r="F1613" s="38" t="s">
        <v>9604</v>
      </c>
      <c r="G1613" s="34" t="s">
        <v>9611</v>
      </c>
      <c r="H1613" s="34" t="s">
        <v>9611</v>
      </c>
      <c r="I1613" s="44" t="s">
        <v>12636</v>
      </c>
      <c r="J1613" s="36" t="s">
        <v>1204</v>
      </c>
    </row>
    <row r="1614" spans="1:10" x14ac:dyDescent="0.25">
      <c r="A1614" s="31" t="s">
        <v>1205</v>
      </c>
      <c r="B1614" s="31">
        <v>45.060099999999998</v>
      </c>
      <c r="C1614" s="32" t="s">
        <v>12637</v>
      </c>
      <c r="D1614" s="31" t="s">
        <v>12600</v>
      </c>
      <c r="E1614" s="40" t="s">
        <v>12638</v>
      </c>
      <c r="F1614" s="38" t="s">
        <v>9604</v>
      </c>
      <c r="G1614" s="34" t="s">
        <v>9611</v>
      </c>
      <c r="I1614" s="44" t="s">
        <v>12636</v>
      </c>
      <c r="J1614" s="36" t="s">
        <v>1205</v>
      </c>
    </row>
    <row r="1615" spans="1:10" x14ac:dyDescent="0.25">
      <c r="A1615" s="31" t="s">
        <v>1206</v>
      </c>
      <c r="B1615" s="31">
        <v>45.060200000000002</v>
      </c>
      <c r="C1615" s="32" t="s">
        <v>12639</v>
      </c>
      <c r="D1615" s="31" t="s">
        <v>12600</v>
      </c>
      <c r="E1615" s="40" t="s">
        <v>12640</v>
      </c>
      <c r="F1615" s="38" t="s">
        <v>9604</v>
      </c>
      <c r="G1615" s="34" t="s">
        <v>9611</v>
      </c>
      <c r="I1615" s="44" t="s">
        <v>12636</v>
      </c>
      <c r="J1615" s="36" t="s">
        <v>1206</v>
      </c>
    </row>
    <row r="1616" spans="1:10" x14ac:dyDescent="0.25">
      <c r="A1616" s="31" t="s">
        <v>1207</v>
      </c>
      <c r="B1616" s="31">
        <v>45.060299999999998</v>
      </c>
      <c r="C1616" s="32" t="s">
        <v>12641</v>
      </c>
      <c r="D1616" s="31" t="s">
        <v>12600</v>
      </c>
      <c r="E1616" s="40" t="s">
        <v>12642</v>
      </c>
      <c r="F1616" s="38" t="s">
        <v>9604</v>
      </c>
      <c r="G1616" s="34" t="s">
        <v>9611</v>
      </c>
      <c r="I1616" s="44" t="s">
        <v>12636</v>
      </c>
      <c r="J1616" s="36" t="s">
        <v>1207</v>
      </c>
    </row>
    <row r="1617" spans="1:10" x14ac:dyDescent="0.25">
      <c r="A1617" s="31" t="s">
        <v>1208</v>
      </c>
      <c r="B1617" s="31">
        <v>45.060400000000001</v>
      </c>
      <c r="C1617" s="32" t="s">
        <v>12643</v>
      </c>
      <c r="D1617" s="31" t="s">
        <v>12600</v>
      </c>
      <c r="E1617" s="40" t="s">
        <v>12644</v>
      </c>
      <c r="F1617" s="38" t="s">
        <v>9604</v>
      </c>
      <c r="G1617" s="34" t="s">
        <v>9611</v>
      </c>
      <c r="I1617" s="44" t="s">
        <v>12636</v>
      </c>
      <c r="J1617" s="36" t="s">
        <v>1208</v>
      </c>
    </row>
    <row r="1618" spans="1:10" x14ac:dyDescent="0.25">
      <c r="A1618" s="31" t="s">
        <v>1209</v>
      </c>
      <c r="B1618" s="31">
        <v>45.060499999999998</v>
      </c>
      <c r="C1618" s="32" t="s">
        <v>12645</v>
      </c>
      <c r="D1618" s="31" t="s">
        <v>12600</v>
      </c>
      <c r="E1618" s="40" t="s">
        <v>12646</v>
      </c>
      <c r="F1618" s="38" t="s">
        <v>9604</v>
      </c>
      <c r="G1618" s="34" t="s">
        <v>9611</v>
      </c>
      <c r="I1618" s="44" t="s">
        <v>12636</v>
      </c>
      <c r="J1618" s="36" t="s">
        <v>1209</v>
      </c>
    </row>
    <row r="1619" spans="1:10" x14ac:dyDescent="0.25">
      <c r="A1619" s="31" t="s">
        <v>1210</v>
      </c>
      <c r="B1619" s="31">
        <v>45.069899999999997</v>
      </c>
      <c r="C1619" s="32" t="s">
        <v>12647</v>
      </c>
      <c r="D1619" s="31" t="s">
        <v>12600</v>
      </c>
      <c r="E1619" s="40" t="s">
        <v>12648</v>
      </c>
      <c r="F1619" s="38" t="s">
        <v>9604</v>
      </c>
      <c r="G1619" s="34" t="s">
        <v>9611</v>
      </c>
      <c r="I1619" s="44" t="s">
        <v>12636</v>
      </c>
      <c r="J1619" s="36" t="s">
        <v>1210</v>
      </c>
    </row>
    <row r="1620" spans="1:10" x14ac:dyDescent="0.25">
      <c r="A1620" s="31" t="s">
        <v>1211</v>
      </c>
      <c r="B1620" s="31">
        <v>45.07</v>
      </c>
      <c r="C1620" s="32" t="s">
        <v>12649</v>
      </c>
      <c r="D1620" s="31" t="s">
        <v>12600</v>
      </c>
      <c r="E1620" s="40" t="s">
        <v>9612</v>
      </c>
      <c r="F1620" s="38" t="s">
        <v>9604</v>
      </c>
      <c r="G1620" s="34" t="s">
        <v>9612</v>
      </c>
      <c r="H1620" s="34" t="s">
        <v>9612</v>
      </c>
      <c r="I1620" s="44" t="s">
        <v>12649</v>
      </c>
      <c r="J1620" s="36" t="s">
        <v>1211</v>
      </c>
    </row>
    <row r="1621" spans="1:10" x14ac:dyDescent="0.25">
      <c r="A1621" s="31" t="s">
        <v>1212</v>
      </c>
      <c r="B1621" s="31">
        <v>45.070099999999996</v>
      </c>
      <c r="C1621" s="32" t="s">
        <v>12650</v>
      </c>
      <c r="D1621" s="31" t="s">
        <v>12600</v>
      </c>
      <c r="E1621" s="40" t="s">
        <v>12651</v>
      </c>
      <c r="F1621" s="38" t="s">
        <v>9604</v>
      </c>
      <c r="G1621" s="34" t="s">
        <v>9612</v>
      </c>
      <c r="I1621" s="44" t="s">
        <v>12649</v>
      </c>
      <c r="J1621" s="36" t="s">
        <v>1212</v>
      </c>
    </row>
    <row r="1622" spans="1:10" x14ac:dyDescent="0.25">
      <c r="A1622" s="31" t="s">
        <v>1213</v>
      </c>
      <c r="B1622" s="31">
        <v>45.0702</v>
      </c>
      <c r="C1622" s="32" t="s">
        <v>12652</v>
      </c>
      <c r="D1622" s="31" t="s">
        <v>12600</v>
      </c>
      <c r="E1622" s="40" t="s">
        <v>12653</v>
      </c>
      <c r="F1622" s="38" t="s">
        <v>9604</v>
      </c>
      <c r="G1622" s="34" t="s">
        <v>9612</v>
      </c>
      <c r="I1622" s="44" t="s">
        <v>12649</v>
      </c>
      <c r="J1622" s="36" t="s">
        <v>1213</v>
      </c>
    </row>
    <row r="1623" spans="1:10" x14ac:dyDescent="0.25">
      <c r="A1623" s="31" t="s">
        <v>1214</v>
      </c>
      <c r="B1623" s="31">
        <v>45.079900000000002</v>
      </c>
      <c r="C1623" s="32" t="s">
        <v>12654</v>
      </c>
      <c r="D1623" s="31" t="s">
        <v>12600</v>
      </c>
      <c r="E1623" s="40" t="s">
        <v>12655</v>
      </c>
      <c r="F1623" s="38" t="s">
        <v>9604</v>
      </c>
      <c r="G1623" s="34" t="s">
        <v>9612</v>
      </c>
      <c r="I1623" s="44" t="s">
        <v>12649</v>
      </c>
      <c r="J1623" s="36" t="s">
        <v>1214</v>
      </c>
    </row>
    <row r="1624" spans="1:10" x14ac:dyDescent="0.25">
      <c r="A1624" s="31" t="s">
        <v>1215</v>
      </c>
      <c r="B1624" s="31">
        <v>45.09</v>
      </c>
      <c r="C1624" s="32" t="s">
        <v>12656</v>
      </c>
      <c r="D1624" s="31" t="s">
        <v>12600</v>
      </c>
      <c r="E1624" s="40" t="s">
        <v>9613</v>
      </c>
      <c r="F1624" s="38" t="s">
        <v>9604</v>
      </c>
      <c r="G1624" s="34" t="s">
        <v>9613</v>
      </c>
      <c r="H1624" s="34" t="s">
        <v>9613</v>
      </c>
      <c r="I1624" s="44" t="s">
        <v>12656</v>
      </c>
      <c r="J1624" s="36" t="s">
        <v>1215</v>
      </c>
    </row>
    <row r="1625" spans="1:10" x14ac:dyDescent="0.25">
      <c r="A1625" s="31" t="s">
        <v>1216</v>
      </c>
      <c r="B1625" s="31">
        <v>45.0901</v>
      </c>
      <c r="C1625" s="32" t="s">
        <v>12657</v>
      </c>
      <c r="D1625" s="31" t="s">
        <v>12600</v>
      </c>
      <c r="E1625" s="40" t="s">
        <v>12658</v>
      </c>
      <c r="F1625" s="38" t="s">
        <v>9604</v>
      </c>
      <c r="G1625" s="34" t="s">
        <v>9613</v>
      </c>
      <c r="I1625" s="44" t="s">
        <v>12656</v>
      </c>
      <c r="J1625" s="36" t="s">
        <v>1216</v>
      </c>
    </row>
    <row r="1626" spans="1:10" x14ac:dyDescent="0.25">
      <c r="A1626" s="31" t="s">
        <v>1217</v>
      </c>
      <c r="B1626" s="31">
        <v>45.090200000000003</v>
      </c>
      <c r="C1626" s="32" t="s">
        <v>12659</v>
      </c>
      <c r="D1626" s="31" t="s">
        <v>12600</v>
      </c>
      <c r="E1626" s="40" t="s">
        <v>12660</v>
      </c>
      <c r="F1626" s="38" t="s">
        <v>9604</v>
      </c>
      <c r="G1626" s="34" t="s">
        <v>9613</v>
      </c>
      <c r="I1626" s="44" t="s">
        <v>12656</v>
      </c>
      <c r="J1626" s="36" t="s">
        <v>1217</v>
      </c>
    </row>
    <row r="1627" spans="1:10" x14ac:dyDescent="0.25">
      <c r="A1627" s="31" t="s">
        <v>1218</v>
      </c>
      <c r="B1627" s="31">
        <v>45.099899999999998</v>
      </c>
      <c r="C1627" s="32" t="s">
        <v>12661</v>
      </c>
      <c r="D1627" s="31" t="s">
        <v>12600</v>
      </c>
      <c r="E1627" s="40" t="s">
        <v>12662</v>
      </c>
      <c r="F1627" s="38" t="s">
        <v>9604</v>
      </c>
      <c r="G1627" s="34" t="s">
        <v>9613</v>
      </c>
      <c r="I1627" s="44" t="s">
        <v>12656</v>
      </c>
      <c r="J1627" s="36" t="s">
        <v>1218</v>
      </c>
    </row>
    <row r="1628" spans="1:10" x14ac:dyDescent="0.25">
      <c r="A1628" s="31" t="s">
        <v>1219</v>
      </c>
      <c r="B1628" s="31">
        <v>45.1</v>
      </c>
      <c r="C1628" s="32" t="s">
        <v>12663</v>
      </c>
      <c r="D1628" s="31" t="s">
        <v>12600</v>
      </c>
      <c r="E1628" s="40" t="s">
        <v>9614</v>
      </c>
      <c r="F1628" s="38" t="s">
        <v>9604</v>
      </c>
      <c r="G1628" s="34" t="s">
        <v>9614</v>
      </c>
      <c r="H1628" s="34" t="s">
        <v>9614</v>
      </c>
      <c r="I1628" s="44" t="s">
        <v>12663</v>
      </c>
      <c r="J1628" s="36" t="s">
        <v>1219</v>
      </c>
    </row>
    <row r="1629" spans="1:10" x14ac:dyDescent="0.25">
      <c r="A1629" s="31" t="s">
        <v>1220</v>
      </c>
      <c r="B1629" s="31">
        <v>45.100099999999998</v>
      </c>
      <c r="C1629" s="32" t="s">
        <v>12664</v>
      </c>
      <c r="D1629" s="31" t="s">
        <v>12600</v>
      </c>
      <c r="E1629" s="40" t="s">
        <v>12665</v>
      </c>
      <c r="F1629" s="38" t="s">
        <v>9604</v>
      </c>
      <c r="G1629" s="34" t="s">
        <v>9614</v>
      </c>
      <c r="I1629" s="44" t="s">
        <v>12663</v>
      </c>
      <c r="J1629" s="36" t="s">
        <v>1220</v>
      </c>
    </row>
    <row r="1630" spans="1:10" x14ac:dyDescent="0.25">
      <c r="A1630" s="31" t="s">
        <v>1221</v>
      </c>
      <c r="B1630" s="31">
        <v>45.100200000000001</v>
      </c>
      <c r="C1630" s="32" t="s">
        <v>12666</v>
      </c>
      <c r="D1630" s="31" t="s">
        <v>12600</v>
      </c>
      <c r="E1630" s="40" t="s">
        <v>12667</v>
      </c>
      <c r="F1630" s="38" t="s">
        <v>9604</v>
      </c>
      <c r="G1630" s="34" t="s">
        <v>9614</v>
      </c>
      <c r="I1630" s="44" t="s">
        <v>12663</v>
      </c>
      <c r="J1630" s="36" t="s">
        <v>1221</v>
      </c>
    </row>
    <row r="1631" spans="1:10" x14ac:dyDescent="0.25">
      <c r="A1631" s="31" t="s">
        <v>1222</v>
      </c>
      <c r="B1631" s="31">
        <v>45.100299999999997</v>
      </c>
      <c r="C1631" s="32" t="s">
        <v>12668</v>
      </c>
      <c r="D1631" s="31" t="s">
        <v>12600</v>
      </c>
      <c r="E1631" s="40" t="s">
        <v>12669</v>
      </c>
      <c r="F1631" s="38" t="s">
        <v>9604</v>
      </c>
      <c r="G1631" s="34" t="s">
        <v>9614</v>
      </c>
      <c r="I1631" s="44" t="s">
        <v>12663</v>
      </c>
      <c r="J1631" s="36" t="s">
        <v>1222</v>
      </c>
    </row>
    <row r="1632" spans="1:10" x14ac:dyDescent="0.25">
      <c r="A1632" s="31" t="s">
        <v>1223</v>
      </c>
      <c r="B1632" s="31">
        <v>45.1004</v>
      </c>
      <c r="C1632" s="32" t="s">
        <v>12670</v>
      </c>
      <c r="D1632" s="31" t="s">
        <v>12600</v>
      </c>
      <c r="E1632" s="40" t="s">
        <v>12671</v>
      </c>
      <c r="F1632" s="38" t="s">
        <v>9604</v>
      </c>
      <c r="G1632" s="34" t="s">
        <v>9614</v>
      </c>
      <c r="I1632" s="44" t="s">
        <v>12663</v>
      </c>
      <c r="J1632" s="36" t="s">
        <v>1223</v>
      </c>
    </row>
    <row r="1633" spans="1:10" x14ac:dyDescent="0.25">
      <c r="A1633" s="31" t="s">
        <v>1224</v>
      </c>
      <c r="B1633" s="31">
        <v>45.109900000000003</v>
      </c>
      <c r="C1633" s="32" t="s">
        <v>12672</v>
      </c>
      <c r="D1633" s="31" t="s">
        <v>12600</v>
      </c>
      <c r="E1633" s="40" t="s">
        <v>12673</v>
      </c>
      <c r="F1633" s="38" t="s">
        <v>9604</v>
      </c>
      <c r="G1633" s="34" t="s">
        <v>9614</v>
      </c>
      <c r="I1633" s="44" t="s">
        <v>12663</v>
      </c>
      <c r="J1633" s="36" t="s">
        <v>1224</v>
      </c>
    </row>
    <row r="1634" spans="1:10" x14ac:dyDescent="0.25">
      <c r="A1634" s="31" t="s">
        <v>1225</v>
      </c>
      <c r="B1634" s="31">
        <v>45.11</v>
      </c>
      <c r="C1634" s="32" t="s">
        <v>12674</v>
      </c>
      <c r="D1634" s="31" t="s">
        <v>12600</v>
      </c>
      <c r="E1634" s="40" t="s">
        <v>9615</v>
      </c>
      <c r="F1634" s="38" t="s">
        <v>9604</v>
      </c>
      <c r="G1634" s="34" t="s">
        <v>9615</v>
      </c>
      <c r="H1634" s="34" t="s">
        <v>9615</v>
      </c>
      <c r="I1634" s="44" t="s">
        <v>12674</v>
      </c>
      <c r="J1634" s="36" t="s">
        <v>1225</v>
      </c>
    </row>
    <row r="1635" spans="1:10" x14ac:dyDescent="0.25">
      <c r="A1635" s="31" t="s">
        <v>2071</v>
      </c>
      <c r="B1635" s="31">
        <v>45.110100000000003</v>
      </c>
      <c r="C1635" s="32" t="s">
        <v>12675</v>
      </c>
      <c r="D1635" s="31" t="s">
        <v>12600</v>
      </c>
      <c r="E1635" s="40" t="s">
        <v>12676</v>
      </c>
      <c r="F1635" s="38" t="s">
        <v>9604</v>
      </c>
      <c r="G1635" s="34" t="s">
        <v>9615</v>
      </c>
      <c r="I1635" s="44" t="s">
        <v>12674</v>
      </c>
      <c r="J1635" s="36" t="s">
        <v>2071</v>
      </c>
    </row>
    <row r="1636" spans="1:10" x14ac:dyDescent="0.25">
      <c r="A1636" s="31" t="s">
        <v>2072</v>
      </c>
      <c r="B1636" s="31">
        <v>45.110199999999999</v>
      </c>
      <c r="C1636" s="32" t="s">
        <v>12677</v>
      </c>
      <c r="D1636" s="31" t="s">
        <v>12600</v>
      </c>
      <c r="E1636" s="40" t="s">
        <v>12678</v>
      </c>
      <c r="F1636" s="38" t="s">
        <v>9604</v>
      </c>
      <c r="G1636" s="34" t="s">
        <v>9615</v>
      </c>
      <c r="I1636" s="44" t="s">
        <v>12674</v>
      </c>
      <c r="J1636" s="36" t="s">
        <v>2072</v>
      </c>
    </row>
    <row r="1637" spans="1:10" x14ac:dyDescent="0.25">
      <c r="A1637" s="31" t="s">
        <v>1228</v>
      </c>
      <c r="B1637" s="31">
        <v>45.110300000000002</v>
      </c>
      <c r="C1637" s="32" t="s">
        <v>12679</v>
      </c>
      <c r="D1637" s="31" t="s">
        <v>12600</v>
      </c>
      <c r="E1637" s="40" t="s">
        <v>12680</v>
      </c>
      <c r="F1637" s="38" t="s">
        <v>9604</v>
      </c>
      <c r="G1637" s="34" t="s">
        <v>9615</v>
      </c>
      <c r="I1637" s="44" t="s">
        <v>12674</v>
      </c>
      <c r="J1637" s="36" t="s">
        <v>1228</v>
      </c>
    </row>
    <row r="1638" spans="1:10" x14ac:dyDescent="0.25">
      <c r="A1638" s="31" t="s">
        <v>2073</v>
      </c>
      <c r="B1638" s="31">
        <v>45.119900000000001</v>
      </c>
      <c r="C1638" s="32" t="s">
        <v>12681</v>
      </c>
      <c r="D1638" s="31" t="s">
        <v>12600</v>
      </c>
      <c r="E1638" s="40" t="s">
        <v>12682</v>
      </c>
      <c r="F1638" s="38" t="s">
        <v>9604</v>
      </c>
      <c r="G1638" s="34" t="s">
        <v>9615</v>
      </c>
      <c r="I1638" s="44" t="s">
        <v>12674</v>
      </c>
      <c r="J1638" s="36" t="s">
        <v>2073</v>
      </c>
    </row>
    <row r="1639" spans="1:10" x14ac:dyDescent="0.25">
      <c r="A1639" s="31" t="s">
        <v>1226</v>
      </c>
      <c r="B1639" s="31">
        <v>45.12</v>
      </c>
      <c r="C1639" s="32" t="s">
        <v>12683</v>
      </c>
      <c r="D1639" s="31" t="s">
        <v>12600</v>
      </c>
      <c r="E1639" s="40" t="s">
        <v>9616</v>
      </c>
      <c r="F1639" s="38" t="s">
        <v>9604</v>
      </c>
      <c r="G1639" s="34" t="s">
        <v>9616</v>
      </c>
      <c r="H1639" s="34" t="s">
        <v>9616</v>
      </c>
      <c r="I1639" s="44" t="s">
        <v>12683</v>
      </c>
      <c r="J1639" s="36" t="s">
        <v>1226</v>
      </c>
    </row>
    <row r="1640" spans="1:10" x14ac:dyDescent="0.25">
      <c r="A1640" s="31" t="s">
        <v>1226</v>
      </c>
      <c r="B1640" s="31">
        <v>45.120100000000001</v>
      </c>
      <c r="C1640" s="32" t="s">
        <v>12684</v>
      </c>
      <c r="D1640" s="31" t="s">
        <v>12600</v>
      </c>
      <c r="E1640" s="40" t="s">
        <v>12685</v>
      </c>
      <c r="F1640" s="38" t="s">
        <v>9604</v>
      </c>
      <c r="G1640" s="34" t="s">
        <v>9616</v>
      </c>
      <c r="I1640" s="44" t="s">
        <v>12683</v>
      </c>
      <c r="J1640" s="36" t="s">
        <v>1226</v>
      </c>
    </row>
    <row r="1641" spans="1:10" x14ac:dyDescent="0.25">
      <c r="A1641" s="31" t="s">
        <v>1227</v>
      </c>
      <c r="B1641" s="31">
        <v>45.13</v>
      </c>
      <c r="C1641" s="32" t="s">
        <v>12686</v>
      </c>
      <c r="D1641" s="31" t="s">
        <v>12600</v>
      </c>
      <c r="E1641" s="40" t="s">
        <v>9617</v>
      </c>
      <c r="F1641" s="38" t="s">
        <v>9604</v>
      </c>
      <c r="G1641" s="34" t="s">
        <v>9617</v>
      </c>
      <c r="H1641" s="34" t="s">
        <v>9617</v>
      </c>
      <c r="I1641" s="44" t="s">
        <v>12686</v>
      </c>
      <c r="J1641" s="36" t="s">
        <v>1227</v>
      </c>
    </row>
    <row r="1642" spans="1:10" x14ac:dyDescent="0.25">
      <c r="A1642" s="31" t="s">
        <v>1227</v>
      </c>
      <c r="B1642" s="31">
        <v>45.130099999999999</v>
      </c>
      <c r="C1642" s="32" t="s">
        <v>12687</v>
      </c>
      <c r="D1642" s="31" t="s">
        <v>12600</v>
      </c>
      <c r="E1642" s="40" t="s">
        <v>12688</v>
      </c>
      <c r="F1642" s="38" t="s">
        <v>9604</v>
      </c>
      <c r="G1642" s="34" t="s">
        <v>9617</v>
      </c>
      <c r="I1642" s="44" t="s">
        <v>12686</v>
      </c>
      <c r="J1642" s="36" t="s">
        <v>1227</v>
      </c>
    </row>
    <row r="1643" spans="1:10" x14ac:dyDescent="0.25">
      <c r="A1643" s="31" t="s">
        <v>1228</v>
      </c>
      <c r="B1643" s="31">
        <v>45.14</v>
      </c>
      <c r="C1643" s="32" t="s">
        <v>12689</v>
      </c>
      <c r="D1643" s="31" t="s">
        <v>12600</v>
      </c>
      <c r="E1643" s="40" t="s">
        <v>9618</v>
      </c>
      <c r="F1643" s="38" t="s">
        <v>9604</v>
      </c>
      <c r="G1643" s="34" t="s">
        <v>9618</v>
      </c>
      <c r="H1643" s="34" t="s">
        <v>9618</v>
      </c>
      <c r="I1643" s="35" t="s">
        <v>12689</v>
      </c>
      <c r="J1643" s="36" t="s">
        <v>1228</v>
      </c>
    </row>
    <row r="1644" spans="1:10" x14ac:dyDescent="0.25">
      <c r="A1644" s="31" t="s">
        <v>1228</v>
      </c>
      <c r="B1644" s="31">
        <v>45.140099999999997</v>
      </c>
      <c r="C1644" s="32" t="s">
        <v>12690</v>
      </c>
      <c r="D1644" s="31" t="s">
        <v>12600</v>
      </c>
      <c r="E1644" s="40" t="s">
        <v>12691</v>
      </c>
      <c r="F1644" s="38" t="s">
        <v>9604</v>
      </c>
      <c r="G1644" s="34" t="s">
        <v>9618</v>
      </c>
      <c r="I1644" s="35" t="s">
        <v>12689</v>
      </c>
      <c r="J1644" s="36" t="s">
        <v>1228</v>
      </c>
    </row>
    <row r="1645" spans="1:10" x14ac:dyDescent="0.25">
      <c r="A1645" s="31" t="s">
        <v>2074</v>
      </c>
      <c r="B1645" s="31">
        <v>45.15</v>
      </c>
      <c r="C1645" s="32" t="s">
        <v>12692</v>
      </c>
      <c r="D1645" s="31" t="s">
        <v>12600</v>
      </c>
      <c r="E1645" s="40" t="s">
        <v>9619</v>
      </c>
      <c r="F1645" s="38" t="s">
        <v>9604</v>
      </c>
      <c r="G1645" s="34" t="s">
        <v>9619</v>
      </c>
      <c r="H1645" s="34" t="s">
        <v>9619</v>
      </c>
      <c r="I1645" s="35" t="s">
        <v>12692</v>
      </c>
      <c r="J1645" s="36" t="s">
        <v>2074</v>
      </c>
    </row>
    <row r="1646" spans="1:10" x14ac:dyDescent="0.25">
      <c r="A1646" s="31" t="s">
        <v>2074</v>
      </c>
      <c r="B1646" s="31">
        <v>45.150100000000002</v>
      </c>
      <c r="C1646" s="32" t="s">
        <v>12693</v>
      </c>
      <c r="D1646" s="31" t="s">
        <v>12600</v>
      </c>
      <c r="E1646" s="40" t="s">
        <v>12694</v>
      </c>
      <c r="F1646" s="38" t="s">
        <v>9604</v>
      </c>
      <c r="G1646" s="34" t="s">
        <v>9619</v>
      </c>
      <c r="I1646" s="35" t="s">
        <v>12692</v>
      </c>
      <c r="J1646" s="36" t="s">
        <v>2074</v>
      </c>
    </row>
    <row r="1647" spans="1:10" x14ac:dyDescent="0.25">
      <c r="A1647" s="31" t="s">
        <v>1229</v>
      </c>
      <c r="B1647" s="31">
        <v>45.99</v>
      </c>
      <c r="C1647" s="32" t="s">
        <v>12695</v>
      </c>
      <c r="D1647" s="31" t="s">
        <v>12600</v>
      </c>
      <c r="E1647" s="40" t="s">
        <v>9620</v>
      </c>
      <c r="F1647" s="38" t="s">
        <v>9604</v>
      </c>
      <c r="G1647" s="34" t="s">
        <v>9620</v>
      </c>
      <c r="H1647" s="34" t="s">
        <v>9620</v>
      </c>
      <c r="I1647" s="44" t="s">
        <v>12695</v>
      </c>
      <c r="J1647" s="36" t="s">
        <v>1229</v>
      </c>
    </row>
    <row r="1648" spans="1:10" x14ac:dyDescent="0.25">
      <c r="A1648" s="31" t="s">
        <v>1229</v>
      </c>
      <c r="B1648" s="31">
        <v>45.999899999999997</v>
      </c>
      <c r="C1648" s="32" t="s">
        <v>12696</v>
      </c>
      <c r="D1648" s="31" t="s">
        <v>12600</v>
      </c>
      <c r="E1648" s="40" t="s">
        <v>12697</v>
      </c>
      <c r="F1648" s="38" t="s">
        <v>9604</v>
      </c>
      <c r="G1648" s="34" t="s">
        <v>9620</v>
      </c>
      <c r="I1648" s="44" t="s">
        <v>12695</v>
      </c>
      <c r="J1648" s="36" t="s">
        <v>1229</v>
      </c>
    </row>
    <row r="1649" spans="1:10" x14ac:dyDescent="0.25">
      <c r="A1649" s="31" t="s">
        <v>1231</v>
      </c>
      <c r="B1649" s="31">
        <v>46</v>
      </c>
      <c r="C1649" s="32" t="s">
        <v>12698</v>
      </c>
      <c r="D1649" s="31" t="s">
        <v>12699</v>
      </c>
      <c r="E1649" s="40" t="s">
        <v>9621</v>
      </c>
      <c r="F1649" s="38" t="s">
        <v>9139</v>
      </c>
      <c r="G1649" s="34" t="s">
        <v>9621</v>
      </c>
      <c r="H1649" s="34" t="s">
        <v>9621</v>
      </c>
      <c r="I1649" s="44" t="s">
        <v>12698</v>
      </c>
      <c r="J1649" s="36" t="s">
        <v>1231</v>
      </c>
    </row>
    <row r="1650" spans="1:10" x14ac:dyDescent="0.25">
      <c r="A1650" s="31" t="s">
        <v>1231</v>
      </c>
      <c r="B1650" s="31">
        <v>46</v>
      </c>
      <c r="C1650" s="32" t="s">
        <v>12700</v>
      </c>
      <c r="D1650" s="31" t="s">
        <v>12699</v>
      </c>
      <c r="E1650" s="40" t="s">
        <v>12701</v>
      </c>
      <c r="F1650" s="38" t="s">
        <v>9139</v>
      </c>
      <c r="G1650" s="34" t="s">
        <v>9621</v>
      </c>
      <c r="I1650" s="44" t="s">
        <v>12698</v>
      </c>
      <c r="J1650" s="36" t="s">
        <v>1231</v>
      </c>
    </row>
    <row r="1651" spans="1:10" x14ac:dyDescent="0.25">
      <c r="A1651" s="31" t="s">
        <v>1230</v>
      </c>
      <c r="B1651" s="31">
        <v>46</v>
      </c>
      <c r="C1651" s="32" t="s">
        <v>12699</v>
      </c>
      <c r="D1651" s="31" t="s">
        <v>12699</v>
      </c>
      <c r="E1651" s="40" t="s">
        <v>9622</v>
      </c>
      <c r="F1651" s="38" t="s">
        <v>9139</v>
      </c>
      <c r="G1651" s="34" t="s">
        <v>9622</v>
      </c>
      <c r="H1651" s="34" t="s">
        <v>9622</v>
      </c>
      <c r="I1651" s="45" t="s">
        <v>12699</v>
      </c>
      <c r="J1651" s="36" t="s">
        <v>1230</v>
      </c>
    </row>
    <row r="1652" spans="1:10" x14ac:dyDescent="0.25">
      <c r="A1652" s="31" t="s">
        <v>1232</v>
      </c>
      <c r="B1652" s="31">
        <v>46.01</v>
      </c>
      <c r="C1652" s="32" t="s">
        <v>12702</v>
      </c>
      <c r="D1652" s="31" t="s">
        <v>12699</v>
      </c>
      <c r="E1652" s="40" t="s">
        <v>9623</v>
      </c>
      <c r="F1652" s="38" t="s">
        <v>9139</v>
      </c>
      <c r="G1652" s="34" t="s">
        <v>9623</v>
      </c>
      <c r="H1652" s="34" t="s">
        <v>9623</v>
      </c>
      <c r="I1652" s="35" t="s">
        <v>12702</v>
      </c>
      <c r="J1652" s="36" t="s">
        <v>1232</v>
      </c>
    </row>
    <row r="1653" spans="1:10" x14ac:dyDescent="0.25">
      <c r="A1653" s="31" t="s">
        <v>1232</v>
      </c>
      <c r="B1653" s="31">
        <v>46.010100000000001</v>
      </c>
      <c r="C1653" s="32" t="s">
        <v>12703</v>
      </c>
      <c r="D1653" s="31" t="s">
        <v>12699</v>
      </c>
      <c r="E1653" s="40" t="s">
        <v>12704</v>
      </c>
      <c r="F1653" s="38" t="s">
        <v>9139</v>
      </c>
      <c r="G1653" s="34" t="s">
        <v>9623</v>
      </c>
      <c r="I1653" s="35" t="s">
        <v>12702</v>
      </c>
      <c r="J1653" s="36" t="s">
        <v>1232</v>
      </c>
    </row>
    <row r="1654" spans="1:10" x14ac:dyDescent="0.25">
      <c r="A1654" s="31" t="s">
        <v>1233</v>
      </c>
      <c r="B1654" s="31">
        <v>46.02</v>
      </c>
      <c r="C1654" s="32" t="s">
        <v>12705</v>
      </c>
      <c r="D1654" s="31" t="s">
        <v>12699</v>
      </c>
      <c r="E1654" s="40" t="s">
        <v>9624</v>
      </c>
      <c r="F1654" s="38" t="s">
        <v>9139</v>
      </c>
      <c r="G1654" s="34" t="s">
        <v>9624</v>
      </c>
      <c r="H1654" s="34" t="s">
        <v>9624</v>
      </c>
      <c r="I1654" s="35" t="s">
        <v>12705</v>
      </c>
      <c r="J1654" s="36" t="s">
        <v>1233</v>
      </c>
    </row>
    <row r="1655" spans="1:10" x14ac:dyDescent="0.25">
      <c r="A1655" s="31" t="s">
        <v>2075</v>
      </c>
      <c r="B1655" s="31">
        <v>46.020099999999999</v>
      </c>
      <c r="C1655" s="32" t="s">
        <v>12706</v>
      </c>
      <c r="D1655" s="31" t="s">
        <v>12699</v>
      </c>
      <c r="E1655" s="40" t="s">
        <v>12707</v>
      </c>
      <c r="F1655" s="38" t="s">
        <v>9139</v>
      </c>
      <c r="G1655" s="34" t="s">
        <v>9624</v>
      </c>
      <c r="I1655" s="35" t="s">
        <v>12705</v>
      </c>
      <c r="J1655" s="36" t="s">
        <v>2075</v>
      </c>
    </row>
    <row r="1656" spans="1:10" x14ac:dyDescent="0.25">
      <c r="A1656" s="31" t="s">
        <v>1234</v>
      </c>
      <c r="B1656" s="31">
        <v>46.03</v>
      </c>
      <c r="C1656" s="32" t="s">
        <v>12708</v>
      </c>
      <c r="D1656" s="31" t="s">
        <v>12699</v>
      </c>
      <c r="E1656" s="40" t="s">
        <v>9625</v>
      </c>
      <c r="F1656" s="38" t="s">
        <v>9139</v>
      </c>
      <c r="G1656" s="34" t="s">
        <v>9625</v>
      </c>
      <c r="H1656" s="34" t="s">
        <v>9625</v>
      </c>
      <c r="I1656" s="35" t="s">
        <v>12708</v>
      </c>
      <c r="J1656" s="36" t="s">
        <v>1234</v>
      </c>
    </row>
    <row r="1657" spans="1:10" x14ac:dyDescent="0.25">
      <c r="A1657" s="31" t="s">
        <v>1235</v>
      </c>
      <c r="B1657" s="31">
        <v>46.030099999999997</v>
      </c>
      <c r="C1657" s="32" t="s">
        <v>12709</v>
      </c>
      <c r="D1657" s="31" t="s">
        <v>12699</v>
      </c>
      <c r="E1657" s="40" t="s">
        <v>12710</v>
      </c>
      <c r="F1657" s="38" t="s">
        <v>9139</v>
      </c>
      <c r="G1657" s="34" t="s">
        <v>9625</v>
      </c>
      <c r="I1657" s="35" t="s">
        <v>12708</v>
      </c>
      <c r="J1657" s="36" t="s">
        <v>1235</v>
      </c>
    </row>
    <row r="1658" spans="1:10" x14ac:dyDescent="0.25">
      <c r="A1658" s="31" t="s">
        <v>1236</v>
      </c>
      <c r="B1658" s="31">
        <v>46.030200000000001</v>
      </c>
      <c r="C1658" s="32" t="s">
        <v>12711</v>
      </c>
      <c r="D1658" s="31" t="s">
        <v>12699</v>
      </c>
      <c r="E1658" s="40" t="s">
        <v>12712</v>
      </c>
      <c r="F1658" s="38" t="s">
        <v>9139</v>
      </c>
      <c r="G1658" s="34" t="s">
        <v>9625</v>
      </c>
      <c r="I1658" s="35" t="s">
        <v>12708</v>
      </c>
      <c r="J1658" s="36" t="s">
        <v>1236</v>
      </c>
    </row>
    <row r="1659" spans="1:10" x14ac:dyDescent="0.25">
      <c r="A1659" s="31" t="s">
        <v>1237</v>
      </c>
      <c r="B1659" s="31">
        <v>46.030299999999997</v>
      </c>
      <c r="C1659" s="32" t="s">
        <v>12713</v>
      </c>
      <c r="D1659" s="31" t="s">
        <v>12699</v>
      </c>
      <c r="E1659" s="40" t="s">
        <v>12714</v>
      </c>
      <c r="F1659" s="38" t="s">
        <v>9139</v>
      </c>
      <c r="G1659" s="34" t="s">
        <v>9625</v>
      </c>
      <c r="I1659" s="35" t="s">
        <v>12708</v>
      </c>
      <c r="J1659" s="36" t="s">
        <v>1237</v>
      </c>
    </row>
    <row r="1660" spans="1:10" x14ac:dyDescent="0.25">
      <c r="A1660" s="31" t="s">
        <v>1238</v>
      </c>
      <c r="B1660" s="31">
        <v>46.039900000000003</v>
      </c>
      <c r="C1660" s="32" t="s">
        <v>12715</v>
      </c>
      <c r="D1660" s="31" t="s">
        <v>12699</v>
      </c>
      <c r="E1660" s="40" t="s">
        <v>12716</v>
      </c>
      <c r="F1660" s="38" t="s">
        <v>9139</v>
      </c>
      <c r="G1660" s="34" t="s">
        <v>9625</v>
      </c>
      <c r="I1660" s="35" t="s">
        <v>12708</v>
      </c>
      <c r="J1660" s="36" t="s">
        <v>1238</v>
      </c>
    </row>
    <row r="1661" spans="1:10" x14ac:dyDescent="0.25">
      <c r="A1661" s="31" t="s">
        <v>1239</v>
      </c>
      <c r="B1661" s="31">
        <v>46.04</v>
      </c>
      <c r="C1661" s="32" t="s">
        <v>12717</v>
      </c>
      <c r="D1661" s="31" t="s">
        <v>12699</v>
      </c>
      <c r="E1661" s="40" t="s">
        <v>9626</v>
      </c>
      <c r="F1661" s="38" t="s">
        <v>9139</v>
      </c>
      <c r="G1661" s="34" t="s">
        <v>9626</v>
      </c>
      <c r="H1661" s="34" t="s">
        <v>9626</v>
      </c>
      <c r="I1661" s="44" t="s">
        <v>12717</v>
      </c>
      <c r="J1661" s="36" t="s">
        <v>1239</v>
      </c>
    </row>
    <row r="1662" spans="1:10" x14ac:dyDescent="0.25">
      <c r="A1662" s="31" t="s">
        <v>1240</v>
      </c>
      <c r="B1662" s="31">
        <v>46.040100000000002</v>
      </c>
      <c r="C1662" s="32" t="s">
        <v>12718</v>
      </c>
      <c r="D1662" s="31" t="s">
        <v>12699</v>
      </c>
      <c r="E1662" s="40" t="s">
        <v>12719</v>
      </c>
      <c r="F1662" s="38" t="s">
        <v>9139</v>
      </c>
      <c r="G1662" s="34" t="s">
        <v>9626</v>
      </c>
      <c r="I1662" s="44" t="s">
        <v>12717</v>
      </c>
      <c r="J1662" s="36" t="s">
        <v>1240</v>
      </c>
    </row>
    <row r="1663" spans="1:10" x14ac:dyDescent="0.25">
      <c r="A1663" s="31" t="s">
        <v>1241</v>
      </c>
      <c r="B1663" s="31">
        <v>46.040199999999999</v>
      </c>
      <c r="C1663" s="32" t="s">
        <v>12720</v>
      </c>
      <c r="D1663" s="31" t="s">
        <v>12699</v>
      </c>
      <c r="E1663" s="40" t="s">
        <v>12721</v>
      </c>
      <c r="F1663" s="38" t="s">
        <v>9139</v>
      </c>
      <c r="G1663" s="34" t="s">
        <v>9626</v>
      </c>
      <c r="I1663" s="44" t="s">
        <v>12717</v>
      </c>
      <c r="J1663" s="36" t="s">
        <v>1241</v>
      </c>
    </row>
    <row r="1664" spans="1:10" x14ac:dyDescent="0.25">
      <c r="A1664" s="31" t="s">
        <v>1242</v>
      </c>
      <c r="B1664" s="31">
        <v>46.040300000000002</v>
      </c>
      <c r="C1664" s="32" t="s">
        <v>12722</v>
      </c>
      <c r="D1664" s="31" t="s">
        <v>12699</v>
      </c>
      <c r="E1664" s="40" t="s">
        <v>12723</v>
      </c>
      <c r="F1664" s="38" t="s">
        <v>9139</v>
      </c>
      <c r="G1664" s="34" t="s">
        <v>9626</v>
      </c>
      <c r="I1664" s="44" t="s">
        <v>12717</v>
      </c>
      <c r="J1664" s="36" t="s">
        <v>1242</v>
      </c>
    </row>
    <row r="1665" spans="1:10" x14ac:dyDescent="0.25">
      <c r="A1665" s="31" t="s">
        <v>1243</v>
      </c>
      <c r="B1665" s="31">
        <v>46.040399999999998</v>
      </c>
      <c r="C1665" s="32" t="s">
        <v>12724</v>
      </c>
      <c r="D1665" s="31" t="s">
        <v>12699</v>
      </c>
      <c r="E1665" s="40" t="s">
        <v>12725</v>
      </c>
      <c r="F1665" s="38" t="s">
        <v>9139</v>
      </c>
      <c r="G1665" s="34" t="s">
        <v>9626</v>
      </c>
      <c r="I1665" s="44" t="s">
        <v>12717</v>
      </c>
      <c r="J1665" s="36" t="s">
        <v>1243</v>
      </c>
    </row>
    <row r="1666" spans="1:10" x14ac:dyDescent="0.25">
      <c r="A1666" s="31" t="s">
        <v>1244</v>
      </c>
      <c r="B1666" s="31">
        <v>46.040599999999998</v>
      </c>
      <c r="C1666" s="32" t="s">
        <v>12726</v>
      </c>
      <c r="D1666" s="31" t="s">
        <v>12699</v>
      </c>
      <c r="E1666" s="40" t="s">
        <v>12727</v>
      </c>
      <c r="F1666" s="38" t="s">
        <v>9139</v>
      </c>
      <c r="G1666" s="34" t="s">
        <v>9626</v>
      </c>
      <c r="I1666" s="44" t="s">
        <v>12717</v>
      </c>
      <c r="J1666" s="36" t="s">
        <v>1244</v>
      </c>
    </row>
    <row r="1667" spans="1:10" x14ac:dyDescent="0.25">
      <c r="A1667" s="31" t="s">
        <v>1245</v>
      </c>
      <c r="B1667" s="31">
        <v>46.040799999999997</v>
      </c>
      <c r="C1667" s="32" t="s">
        <v>12728</v>
      </c>
      <c r="D1667" s="31" t="s">
        <v>12699</v>
      </c>
      <c r="E1667" s="40" t="s">
        <v>12729</v>
      </c>
      <c r="F1667" s="38" t="s">
        <v>9139</v>
      </c>
      <c r="G1667" s="34" t="s">
        <v>9626</v>
      </c>
      <c r="I1667" s="44" t="s">
        <v>12717</v>
      </c>
      <c r="J1667" s="36" t="s">
        <v>1245</v>
      </c>
    </row>
    <row r="1668" spans="1:10" x14ac:dyDescent="0.25">
      <c r="A1668" s="31" t="s">
        <v>1246</v>
      </c>
      <c r="B1668" s="31">
        <v>46.040999999999997</v>
      </c>
      <c r="C1668" s="32" t="s">
        <v>12730</v>
      </c>
      <c r="D1668" s="31" t="s">
        <v>12699</v>
      </c>
      <c r="E1668" s="40" t="s">
        <v>12731</v>
      </c>
      <c r="F1668" s="38" t="s">
        <v>9139</v>
      </c>
      <c r="G1668" s="34" t="s">
        <v>9626</v>
      </c>
      <c r="I1668" s="44" t="s">
        <v>12717</v>
      </c>
      <c r="J1668" s="36" t="s">
        <v>1246</v>
      </c>
    </row>
    <row r="1669" spans="1:10" x14ac:dyDescent="0.25">
      <c r="A1669" s="31" t="s">
        <v>1247</v>
      </c>
      <c r="B1669" s="31">
        <v>46.0411</v>
      </c>
      <c r="C1669" s="32" t="s">
        <v>12732</v>
      </c>
      <c r="D1669" s="31" t="s">
        <v>12699</v>
      </c>
      <c r="E1669" s="40" t="s">
        <v>12733</v>
      </c>
      <c r="F1669" s="38" t="s">
        <v>9139</v>
      </c>
      <c r="G1669" s="34" t="s">
        <v>9626</v>
      </c>
      <c r="I1669" s="44" t="s">
        <v>12717</v>
      </c>
      <c r="J1669" s="36" t="s">
        <v>1247</v>
      </c>
    </row>
    <row r="1670" spans="1:10" x14ac:dyDescent="0.25">
      <c r="A1670" s="31" t="s">
        <v>1248</v>
      </c>
      <c r="B1670" s="31">
        <v>46.041200000000003</v>
      </c>
      <c r="C1670" s="32" t="s">
        <v>12734</v>
      </c>
      <c r="D1670" s="31" t="s">
        <v>12699</v>
      </c>
      <c r="E1670" s="40" t="s">
        <v>12735</v>
      </c>
      <c r="F1670" s="38" t="s">
        <v>9139</v>
      </c>
      <c r="G1670" s="34" t="s">
        <v>9626</v>
      </c>
      <c r="I1670" s="44" t="s">
        <v>12717</v>
      </c>
      <c r="J1670" s="36" t="s">
        <v>1248</v>
      </c>
    </row>
    <row r="1671" spans="1:10" x14ac:dyDescent="0.25">
      <c r="A1671" s="31" t="s">
        <v>1249</v>
      </c>
      <c r="B1671" s="31">
        <v>46.0413</v>
      </c>
      <c r="C1671" s="32" t="s">
        <v>12736</v>
      </c>
      <c r="D1671" s="31" t="s">
        <v>12699</v>
      </c>
      <c r="E1671" s="40" t="s">
        <v>12737</v>
      </c>
      <c r="F1671" s="38" t="s">
        <v>9139</v>
      </c>
      <c r="G1671" s="34" t="s">
        <v>9626</v>
      </c>
      <c r="I1671" s="44" t="s">
        <v>12717</v>
      </c>
      <c r="J1671" s="36" t="s">
        <v>1249</v>
      </c>
    </row>
    <row r="1672" spans="1:10" x14ac:dyDescent="0.25">
      <c r="A1672" s="31" t="s">
        <v>1250</v>
      </c>
      <c r="B1672" s="31">
        <v>46.041400000000003</v>
      </c>
      <c r="C1672" s="32" t="s">
        <v>12738</v>
      </c>
      <c r="D1672" s="31" t="s">
        <v>12699</v>
      </c>
      <c r="E1672" s="40" t="s">
        <v>12739</v>
      </c>
      <c r="F1672" s="38" t="s">
        <v>9139</v>
      </c>
      <c r="G1672" s="34" t="s">
        <v>9626</v>
      </c>
      <c r="I1672" s="44" t="s">
        <v>12717</v>
      </c>
      <c r="J1672" s="36" t="s">
        <v>1250</v>
      </c>
    </row>
    <row r="1673" spans="1:10" x14ac:dyDescent="0.25">
      <c r="A1673" s="31" t="s">
        <v>2076</v>
      </c>
      <c r="B1673" s="31">
        <v>46.041499999999999</v>
      </c>
      <c r="C1673" s="32" t="s">
        <v>12740</v>
      </c>
      <c r="D1673" s="31" t="s">
        <v>12699</v>
      </c>
      <c r="E1673" s="40" t="s">
        <v>12741</v>
      </c>
      <c r="F1673" s="38" t="s">
        <v>9139</v>
      </c>
      <c r="G1673" s="34" t="s">
        <v>9626</v>
      </c>
      <c r="I1673" s="44" t="s">
        <v>12717</v>
      </c>
      <c r="J1673" s="36" t="s">
        <v>2076</v>
      </c>
    </row>
    <row r="1674" spans="1:10" x14ac:dyDescent="0.25">
      <c r="A1674" s="31" t="s">
        <v>1251</v>
      </c>
      <c r="B1674" s="31">
        <v>46.049900000000001</v>
      </c>
      <c r="C1674" s="32" t="s">
        <v>12742</v>
      </c>
      <c r="D1674" s="31" t="s">
        <v>12699</v>
      </c>
      <c r="E1674" s="40" t="s">
        <v>12743</v>
      </c>
      <c r="F1674" s="38" t="s">
        <v>9139</v>
      </c>
      <c r="G1674" s="34" t="s">
        <v>9626</v>
      </c>
      <c r="I1674" s="44" t="s">
        <v>12717</v>
      </c>
      <c r="J1674" s="36" t="s">
        <v>1251</v>
      </c>
    </row>
    <row r="1675" spans="1:10" x14ac:dyDescent="0.25">
      <c r="A1675" s="31" t="s">
        <v>1252</v>
      </c>
      <c r="B1675" s="31">
        <v>46.05</v>
      </c>
      <c r="C1675" s="32" t="s">
        <v>12744</v>
      </c>
      <c r="D1675" s="31" t="s">
        <v>12699</v>
      </c>
      <c r="E1675" s="40" t="s">
        <v>9627</v>
      </c>
      <c r="F1675" s="38" t="s">
        <v>9139</v>
      </c>
      <c r="G1675" s="34" t="s">
        <v>9627</v>
      </c>
      <c r="H1675" s="34" t="s">
        <v>9627</v>
      </c>
      <c r="I1675" s="35" t="s">
        <v>12744</v>
      </c>
      <c r="J1675" s="36" t="s">
        <v>1252</v>
      </c>
    </row>
    <row r="1676" spans="1:10" x14ac:dyDescent="0.25">
      <c r="A1676" s="31" t="s">
        <v>1253</v>
      </c>
      <c r="B1676" s="31">
        <v>46.050199999999997</v>
      </c>
      <c r="C1676" s="32" t="s">
        <v>12745</v>
      </c>
      <c r="D1676" s="31" t="s">
        <v>12699</v>
      </c>
      <c r="E1676" s="40" t="s">
        <v>12746</v>
      </c>
      <c r="F1676" s="38" t="s">
        <v>9139</v>
      </c>
      <c r="G1676" s="34" t="s">
        <v>9627</v>
      </c>
      <c r="I1676" s="35" t="s">
        <v>12744</v>
      </c>
      <c r="J1676" s="36" t="s">
        <v>1253</v>
      </c>
    </row>
    <row r="1677" spans="1:10" x14ac:dyDescent="0.25">
      <c r="A1677" s="31" t="s">
        <v>1254</v>
      </c>
      <c r="B1677" s="31">
        <v>46.0503</v>
      </c>
      <c r="C1677" s="32" t="s">
        <v>12747</v>
      </c>
      <c r="D1677" s="31" t="s">
        <v>12699</v>
      </c>
      <c r="E1677" s="40" t="s">
        <v>12748</v>
      </c>
      <c r="F1677" s="38" t="s">
        <v>9139</v>
      </c>
      <c r="G1677" s="34" t="s">
        <v>9627</v>
      </c>
      <c r="I1677" s="35" t="s">
        <v>12744</v>
      </c>
      <c r="J1677" s="36" t="s">
        <v>1254</v>
      </c>
    </row>
    <row r="1678" spans="1:10" x14ac:dyDescent="0.25">
      <c r="A1678" s="31" t="s">
        <v>1255</v>
      </c>
      <c r="B1678" s="31">
        <v>46.050400000000003</v>
      </c>
      <c r="C1678" s="32" t="s">
        <v>12749</v>
      </c>
      <c r="D1678" s="31" t="s">
        <v>12699</v>
      </c>
      <c r="E1678" s="40" t="s">
        <v>12750</v>
      </c>
      <c r="F1678" s="38" t="s">
        <v>9139</v>
      </c>
      <c r="G1678" s="34" t="s">
        <v>9627</v>
      </c>
      <c r="I1678" s="35" t="s">
        <v>12744</v>
      </c>
      <c r="J1678" s="36" t="s">
        <v>1255</v>
      </c>
    </row>
    <row r="1679" spans="1:10" x14ac:dyDescent="0.25">
      <c r="A1679" s="31" t="s">
        <v>1256</v>
      </c>
      <c r="B1679" s="31">
        <v>46.0505</v>
      </c>
      <c r="C1679" s="32" t="s">
        <v>12751</v>
      </c>
      <c r="D1679" s="31" t="s">
        <v>12699</v>
      </c>
      <c r="E1679" s="40" t="s">
        <v>12752</v>
      </c>
      <c r="F1679" s="38" t="s">
        <v>9139</v>
      </c>
      <c r="G1679" s="34" t="s">
        <v>9627</v>
      </c>
      <c r="I1679" s="35" t="s">
        <v>12744</v>
      </c>
      <c r="J1679" s="36" t="s">
        <v>1256</v>
      </c>
    </row>
    <row r="1680" spans="1:10" x14ac:dyDescent="0.25">
      <c r="A1680" s="31" t="s">
        <v>1257</v>
      </c>
      <c r="B1680" s="31">
        <v>46.059899999999999</v>
      </c>
      <c r="C1680" s="32" t="s">
        <v>12753</v>
      </c>
      <c r="D1680" s="31" t="s">
        <v>12699</v>
      </c>
      <c r="E1680" s="40" t="s">
        <v>12754</v>
      </c>
      <c r="F1680" s="38" t="s">
        <v>9139</v>
      </c>
      <c r="G1680" s="34" t="s">
        <v>9627</v>
      </c>
      <c r="I1680" s="35" t="s">
        <v>12744</v>
      </c>
      <c r="J1680" s="36" t="s">
        <v>1257</v>
      </c>
    </row>
    <row r="1681" spans="1:10" x14ac:dyDescent="0.25">
      <c r="A1681" s="31" t="s">
        <v>1258</v>
      </c>
      <c r="B1681" s="31">
        <v>46.99</v>
      </c>
      <c r="C1681" s="32" t="s">
        <v>12755</v>
      </c>
      <c r="D1681" s="31" t="s">
        <v>12699</v>
      </c>
      <c r="E1681" s="40" t="s">
        <v>9628</v>
      </c>
      <c r="F1681" s="38" t="s">
        <v>9139</v>
      </c>
      <c r="G1681" s="34" t="s">
        <v>9628</v>
      </c>
      <c r="H1681" s="34" t="s">
        <v>9628</v>
      </c>
      <c r="I1681" s="35" t="s">
        <v>12755</v>
      </c>
      <c r="J1681" s="36" t="s">
        <v>1258</v>
      </c>
    </row>
    <row r="1682" spans="1:10" x14ac:dyDescent="0.25">
      <c r="A1682" s="31" t="s">
        <v>1258</v>
      </c>
      <c r="B1682" s="31">
        <v>46.999899999999997</v>
      </c>
      <c r="C1682" s="32" t="s">
        <v>12756</v>
      </c>
      <c r="D1682" s="31" t="s">
        <v>12699</v>
      </c>
      <c r="E1682" s="40" t="s">
        <v>12757</v>
      </c>
      <c r="F1682" s="38" t="s">
        <v>9139</v>
      </c>
      <c r="G1682" s="34" t="s">
        <v>9628</v>
      </c>
      <c r="I1682" s="35" t="s">
        <v>12755</v>
      </c>
      <c r="J1682" s="36" t="s">
        <v>1258</v>
      </c>
    </row>
    <row r="1683" spans="1:10" x14ac:dyDescent="0.25">
      <c r="A1683" s="31" t="s">
        <v>1259</v>
      </c>
      <c r="B1683" s="31">
        <v>47</v>
      </c>
      <c r="C1683" s="32" t="s">
        <v>12758</v>
      </c>
      <c r="D1683" s="31" t="s">
        <v>12758</v>
      </c>
      <c r="E1683" s="40" t="s">
        <v>9629</v>
      </c>
      <c r="F1683" s="38" t="s">
        <v>9144</v>
      </c>
      <c r="G1683" s="34" t="s">
        <v>9629</v>
      </c>
      <c r="H1683" s="34" t="s">
        <v>9629</v>
      </c>
      <c r="I1683" s="45" t="s">
        <v>12758</v>
      </c>
      <c r="J1683" s="36" t="s">
        <v>1259</v>
      </c>
    </row>
    <row r="1684" spans="1:10" x14ac:dyDescent="0.25">
      <c r="A1684" s="31" t="s">
        <v>1260</v>
      </c>
      <c r="B1684" s="31">
        <v>47</v>
      </c>
      <c r="C1684" s="32" t="s">
        <v>12759</v>
      </c>
      <c r="D1684" s="31" t="s">
        <v>12758</v>
      </c>
      <c r="E1684" s="40" t="s">
        <v>9630</v>
      </c>
      <c r="F1684" s="38" t="s">
        <v>9144</v>
      </c>
      <c r="G1684" s="34" t="s">
        <v>9630</v>
      </c>
      <c r="H1684" s="34" t="s">
        <v>9630</v>
      </c>
      <c r="I1684" s="35" t="s">
        <v>12759</v>
      </c>
      <c r="J1684" s="36" t="s">
        <v>1260</v>
      </c>
    </row>
    <row r="1685" spans="1:10" x14ac:dyDescent="0.25">
      <c r="A1685" s="31" t="s">
        <v>1260</v>
      </c>
      <c r="B1685" s="31">
        <v>47</v>
      </c>
      <c r="C1685" s="32" t="s">
        <v>12760</v>
      </c>
      <c r="D1685" s="31" t="s">
        <v>12758</v>
      </c>
      <c r="E1685" s="40" t="s">
        <v>12761</v>
      </c>
      <c r="F1685" s="38" t="s">
        <v>9144</v>
      </c>
      <c r="G1685" s="34" t="s">
        <v>9630</v>
      </c>
      <c r="I1685" s="35" t="s">
        <v>12759</v>
      </c>
      <c r="J1685" s="36" t="s">
        <v>1260</v>
      </c>
    </row>
    <row r="1686" spans="1:10" x14ac:dyDescent="0.25">
      <c r="A1686" s="31" t="s">
        <v>2077</v>
      </c>
      <c r="B1686" s="31">
        <v>47.01</v>
      </c>
      <c r="C1686" s="32" t="s">
        <v>12762</v>
      </c>
      <c r="D1686" s="31" t="s">
        <v>12758</v>
      </c>
      <c r="E1686" s="40" t="s">
        <v>9631</v>
      </c>
      <c r="F1686" s="38" t="s">
        <v>9144</v>
      </c>
      <c r="G1686" s="34" t="s">
        <v>9631</v>
      </c>
      <c r="H1686" s="34" t="s">
        <v>9631</v>
      </c>
      <c r="I1686" s="35" t="s">
        <v>12762</v>
      </c>
      <c r="J1686" s="36" t="s">
        <v>2077</v>
      </c>
    </row>
    <row r="1687" spans="1:10" x14ac:dyDescent="0.25">
      <c r="A1687" s="31" t="s">
        <v>2078</v>
      </c>
      <c r="B1687" s="31">
        <v>47.010100000000001</v>
      </c>
      <c r="C1687" s="32" t="s">
        <v>12763</v>
      </c>
      <c r="D1687" s="31" t="s">
        <v>12758</v>
      </c>
      <c r="E1687" s="40" t="s">
        <v>12764</v>
      </c>
      <c r="F1687" s="38" t="s">
        <v>9144</v>
      </c>
      <c r="G1687" s="34" t="s">
        <v>9631</v>
      </c>
      <c r="I1687" s="35" t="s">
        <v>12762</v>
      </c>
      <c r="J1687" s="36" t="s">
        <v>2078</v>
      </c>
    </row>
    <row r="1688" spans="1:10" x14ac:dyDescent="0.25">
      <c r="A1688" s="31" t="s">
        <v>1261</v>
      </c>
      <c r="B1688" s="31">
        <v>47.010199999999998</v>
      </c>
      <c r="C1688" s="32" t="s">
        <v>12765</v>
      </c>
      <c r="D1688" s="31" t="s">
        <v>12758</v>
      </c>
      <c r="E1688" s="40" t="s">
        <v>12766</v>
      </c>
      <c r="F1688" s="38" t="s">
        <v>9144</v>
      </c>
      <c r="G1688" s="34" t="s">
        <v>9631</v>
      </c>
      <c r="I1688" s="35" t="s">
        <v>12762</v>
      </c>
      <c r="J1688" s="36" t="s">
        <v>1261</v>
      </c>
    </row>
    <row r="1689" spans="1:10" x14ac:dyDescent="0.25">
      <c r="A1689" s="31" t="s">
        <v>2079</v>
      </c>
      <c r="B1689" s="31">
        <v>47.010300000000001</v>
      </c>
      <c r="C1689" s="32" t="s">
        <v>12767</v>
      </c>
      <c r="D1689" s="31" t="s">
        <v>12758</v>
      </c>
      <c r="E1689" s="40" t="s">
        <v>12768</v>
      </c>
      <c r="F1689" s="38" t="s">
        <v>9144</v>
      </c>
      <c r="G1689" s="34" t="s">
        <v>9631</v>
      </c>
      <c r="I1689" s="35" t="s">
        <v>12762</v>
      </c>
      <c r="J1689" s="36" t="s">
        <v>2079</v>
      </c>
    </row>
    <row r="1690" spans="1:10" x14ac:dyDescent="0.25">
      <c r="A1690" s="31" t="s">
        <v>1262</v>
      </c>
      <c r="B1690" s="31">
        <v>47.010399999999997</v>
      </c>
      <c r="C1690" s="32" t="s">
        <v>12769</v>
      </c>
      <c r="D1690" s="31" t="s">
        <v>12758</v>
      </c>
      <c r="E1690" s="40" t="s">
        <v>12770</v>
      </c>
      <c r="F1690" s="38" t="s">
        <v>9144</v>
      </c>
      <c r="G1690" s="34" t="s">
        <v>9631</v>
      </c>
      <c r="I1690" s="35" t="s">
        <v>12762</v>
      </c>
      <c r="J1690" s="36" t="s">
        <v>1262</v>
      </c>
    </row>
    <row r="1691" spans="1:10" x14ac:dyDescent="0.25">
      <c r="A1691" s="31" t="s">
        <v>1263</v>
      </c>
      <c r="B1691" s="31">
        <v>47.0105</v>
      </c>
      <c r="C1691" s="32" t="s">
        <v>12771</v>
      </c>
      <c r="D1691" s="31" t="s">
        <v>12758</v>
      </c>
      <c r="E1691" s="40" t="s">
        <v>12772</v>
      </c>
      <c r="F1691" s="38" t="s">
        <v>9144</v>
      </c>
      <c r="G1691" s="34" t="s">
        <v>9631</v>
      </c>
      <c r="I1691" s="35" t="s">
        <v>12762</v>
      </c>
      <c r="J1691" s="36" t="s">
        <v>1263</v>
      </c>
    </row>
    <row r="1692" spans="1:10" x14ac:dyDescent="0.25">
      <c r="A1692" s="31" t="s">
        <v>1264</v>
      </c>
      <c r="B1692" s="31">
        <v>47.010599999999997</v>
      </c>
      <c r="C1692" s="32" t="s">
        <v>12773</v>
      </c>
      <c r="D1692" s="31" t="s">
        <v>12758</v>
      </c>
      <c r="E1692" s="40" t="s">
        <v>12774</v>
      </c>
      <c r="F1692" s="38" t="s">
        <v>9144</v>
      </c>
      <c r="G1692" s="34" t="s">
        <v>9631</v>
      </c>
      <c r="I1692" s="35" t="s">
        <v>12762</v>
      </c>
      <c r="J1692" s="36" t="s">
        <v>1264</v>
      </c>
    </row>
    <row r="1693" spans="1:10" x14ac:dyDescent="0.25">
      <c r="A1693" s="31" t="s">
        <v>1265</v>
      </c>
      <c r="B1693" s="31">
        <v>47.011000000000003</v>
      </c>
      <c r="C1693" s="32" t="s">
        <v>12775</v>
      </c>
      <c r="D1693" s="31" t="s">
        <v>12758</v>
      </c>
      <c r="E1693" s="40" t="s">
        <v>12776</v>
      </c>
      <c r="F1693" s="38" t="s">
        <v>9144</v>
      </c>
      <c r="G1693" s="34" t="s">
        <v>9631</v>
      </c>
      <c r="I1693" s="35" t="s">
        <v>12762</v>
      </c>
      <c r="J1693" s="36" t="s">
        <v>1265</v>
      </c>
    </row>
    <row r="1694" spans="1:10" x14ac:dyDescent="0.25">
      <c r="A1694" s="31" t="s">
        <v>2080</v>
      </c>
      <c r="B1694" s="31">
        <v>47.0199</v>
      </c>
      <c r="C1694" s="32" t="s">
        <v>12777</v>
      </c>
      <c r="D1694" s="31" t="s">
        <v>12758</v>
      </c>
      <c r="E1694" s="40" t="s">
        <v>12778</v>
      </c>
      <c r="F1694" s="38" t="s">
        <v>9144</v>
      </c>
      <c r="G1694" s="34" t="s">
        <v>9631</v>
      </c>
      <c r="I1694" s="35" t="s">
        <v>12762</v>
      </c>
      <c r="J1694" s="36" t="s">
        <v>2080</v>
      </c>
    </row>
    <row r="1695" spans="1:10" x14ac:dyDescent="0.25">
      <c r="A1695" s="31" t="s">
        <v>1266</v>
      </c>
      <c r="B1695" s="31">
        <v>47.02</v>
      </c>
      <c r="C1695" s="32" t="s">
        <v>12779</v>
      </c>
      <c r="D1695" s="31" t="s">
        <v>12758</v>
      </c>
      <c r="E1695" s="40" t="s">
        <v>9632</v>
      </c>
      <c r="F1695" s="38" t="s">
        <v>9144</v>
      </c>
      <c r="G1695" s="34" t="s">
        <v>9632</v>
      </c>
      <c r="H1695" s="34" t="s">
        <v>9632</v>
      </c>
      <c r="I1695" s="35" t="s">
        <v>12779</v>
      </c>
      <c r="J1695" s="36" t="s">
        <v>1266</v>
      </c>
    </row>
    <row r="1696" spans="1:10" x14ac:dyDescent="0.25">
      <c r="A1696" s="31" t="s">
        <v>2081</v>
      </c>
      <c r="B1696" s="31">
        <v>47.020099999999999</v>
      </c>
      <c r="C1696" s="32" t="s">
        <v>12780</v>
      </c>
      <c r="D1696" s="31" t="s">
        <v>12758</v>
      </c>
      <c r="E1696" s="40" t="s">
        <v>12781</v>
      </c>
      <c r="F1696" s="38" t="s">
        <v>9144</v>
      </c>
      <c r="G1696" s="34" t="s">
        <v>9632</v>
      </c>
      <c r="I1696" s="35" t="s">
        <v>12779</v>
      </c>
      <c r="J1696" s="36" t="s">
        <v>2081</v>
      </c>
    </row>
    <row r="1697" spans="1:10" x14ac:dyDescent="0.25">
      <c r="A1697" s="31" t="s">
        <v>2082</v>
      </c>
      <c r="B1697" s="31">
        <v>47.03</v>
      </c>
      <c r="C1697" s="32" t="s">
        <v>12782</v>
      </c>
      <c r="D1697" s="31" t="s">
        <v>12758</v>
      </c>
      <c r="E1697" s="40" t="s">
        <v>9633</v>
      </c>
      <c r="F1697" s="38" t="s">
        <v>9144</v>
      </c>
      <c r="G1697" s="34" t="s">
        <v>9633</v>
      </c>
      <c r="H1697" s="34" t="s">
        <v>9633</v>
      </c>
      <c r="I1697" s="35" t="s">
        <v>12782</v>
      </c>
      <c r="J1697" s="36" t="s">
        <v>2082</v>
      </c>
    </row>
    <row r="1698" spans="1:10" x14ac:dyDescent="0.25">
      <c r="A1698" s="31" t="s">
        <v>1267</v>
      </c>
      <c r="B1698" s="31">
        <v>47.030200000000001</v>
      </c>
      <c r="C1698" s="32" t="s">
        <v>12783</v>
      </c>
      <c r="D1698" s="31" t="s">
        <v>12758</v>
      </c>
      <c r="E1698" s="40" t="s">
        <v>12784</v>
      </c>
      <c r="F1698" s="38" t="s">
        <v>9144</v>
      </c>
      <c r="G1698" s="34" t="s">
        <v>9633</v>
      </c>
      <c r="I1698" s="35" t="s">
        <v>12782</v>
      </c>
      <c r="J1698" s="36" t="s">
        <v>1267</v>
      </c>
    </row>
    <row r="1699" spans="1:10" x14ac:dyDescent="0.25">
      <c r="A1699" s="31" t="s">
        <v>2083</v>
      </c>
      <c r="B1699" s="31">
        <v>47.030299999999997</v>
      </c>
      <c r="C1699" s="32" t="s">
        <v>12785</v>
      </c>
      <c r="D1699" s="31" t="s">
        <v>12758</v>
      </c>
      <c r="E1699" s="40" t="s">
        <v>12786</v>
      </c>
      <c r="F1699" s="38" t="s">
        <v>9144</v>
      </c>
      <c r="G1699" s="34" t="s">
        <v>9633</v>
      </c>
      <c r="I1699" s="35" t="s">
        <v>12782</v>
      </c>
      <c r="J1699" s="36" t="s">
        <v>2083</v>
      </c>
    </row>
    <row r="1700" spans="1:10" x14ac:dyDescent="0.25">
      <c r="A1700" s="31" t="s">
        <v>2084</v>
      </c>
      <c r="B1700" s="31">
        <v>47.039900000000003</v>
      </c>
      <c r="C1700" s="32" t="s">
        <v>12787</v>
      </c>
      <c r="D1700" s="31" t="s">
        <v>12758</v>
      </c>
      <c r="E1700" s="40" t="s">
        <v>12788</v>
      </c>
      <c r="F1700" s="38" t="s">
        <v>9144</v>
      </c>
      <c r="G1700" s="34" t="s">
        <v>9633</v>
      </c>
      <c r="I1700" s="35" t="s">
        <v>12782</v>
      </c>
      <c r="J1700" s="36" t="s">
        <v>2084</v>
      </c>
    </row>
    <row r="1701" spans="1:10" x14ac:dyDescent="0.25">
      <c r="A1701" s="31" t="s">
        <v>2085</v>
      </c>
      <c r="B1701" s="31">
        <v>47.04</v>
      </c>
      <c r="C1701" s="32" t="s">
        <v>12789</v>
      </c>
      <c r="D1701" s="31" t="s">
        <v>12758</v>
      </c>
      <c r="E1701" s="40" t="s">
        <v>9634</v>
      </c>
      <c r="F1701" s="38" t="s">
        <v>9144</v>
      </c>
      <c r="G1701" s="34" t="s">
        <v>9634</v>
      </c>
      <c r="H1701" s="34" t="s">
        <v>9634</v>
      </c>
      <c r="I1701" s="35" t="s">
        <v>12789</v>
      </c>
      <c r="J1701" s="36" t="s">
        <v>2085</v>
      </c>
    </row>
    <row r="1702" spans="1:10" x14ac:dyDescent="0.25">
      <c r="A1702" s="31" t="s">
        <v>1268</v>
      </c>
      <c r="B1702" s="31">
        <v>47.040199999999999</v>
      </c>
      <c r="C1702" s="32" t="s">
        <v>12790</v>
      </c>
      <c r="D1702" s="31" t="s">
        <v>12758</v>
      </c>
      <c r="E1702" s="40" t="s">
        <v>12791</v>
      </c>
      <c r="F1702" s="38" t="s">
        <v>9144</v>
      </c>
      <c r="G1702" s="34" t="s">
        <v>9634</v>
      </c>
      <c r="I1702" s="35" t="s">
        <v>12789</v>
      </c>
      <c r="J1702" s="36" t="s">
        <v>1268</v>
      </c>
    </row>
    <row r="1703" spans="1:10" x14ac:dyDescent="0.25">
      <c r="A1703" s="31" t="s">
        <v>1269</v>
      </c>
      <c r="B1703" s="31">
        <v>47.040300000000002</v>
      </c>
      <c r="C1703" s="32" t="s">
        <v>12792</v>
      </c>
      <c r="D1703" s="31" t="s">
        <v>12758</v>
      </c>
      <c r="E1703" s="40" t="s">
        <v>12793</v>
      </c>
      <c r="F1703" s="38" t="s">
        <v>9144</v>
      </c>
      <c r="G1703" s="34" t="s">
        <v>9634</v>
      </c>
      <c r="I1703" s="35" t="s">
        <v>12789</v>
      </c>
      <c r="J1703" s="36" t="s">
        <v>1269</v>
      </c>
    </row>
    <row r="1704" spans="1:10" x14ac:dyDescent="0.25">
      <c r="A1704" s="31" t="s">
        <v>1270</v>
      </c>
      <c r="B1704" s="31">
        <v>47.040399999999998</v>
      </c>
      <c r="C1704" s="32" t="s">
        <v>12794</v>
      </c>
      <c r="D1704" s="31" t="s">
        <v>12758</v>
      </c>
      <c r="E1704" s="40" t="s">
        <v>12795</v>
      </c>
      <c r="F1704" s="38" t="s">
        <v>9144</v>
      </c>
      <c r="G1704" s="34" t="s">
        <v>9634</v>
      </c>
      <c r="I1704" s="35" t="s">
        <v>12789</v>
      </c>
      <c r="J1704" s="36" t="s">
        <v>1270</v>
      </c>
    </row>
    <row r="1705" spans="1:10" x14ac:dyDescent="0.25">
      <c r="A1705" s="31" t="s">
        <v>1271</v>
      </c>
      <c r="B1705" s="31">
        <v>47.040799999999997</v>
      </c>
      <c r="C1705" s="32" t="s">
        <v>12796</v>
      </c>
      <c r="D1705" s="31" t="s">
        <v>12758</v>
      </c>
      <c r="E1705" s="40" t="s">
        <v>12797</v>
      </c>
      <c r="F1705" s="38" t="s">
        <v>9144</v>
      </c>
      <c r="G1705" s="34" t="s">
        <v>9634</v>
      </c>
      <c r="I1705" s="35" t="s">
        <v>12789</v>
      </c>
      <c r="J1705" s="36" t="s">
        <v>1271</v>
      </c>
    </row>
    <row r="1706" spans="1:10" x14ac:dyDescent="0.25">
      <c r="A1706" s="31" t="s">
        <v>1272</v>
      </c>
      <c r="B1706" s="31">
        <v>47.040900000000001</v>
      </c>
      <c r="C1706" s="32" t="s">
        <v>12798</v>
      </c>
      <c r="D1706" s="31" t="s">
        <v>12758</v>
      </c>
      <c r="E1706" s="40" t="s">
        <v>12799</v>
      </c>
      <c r="F1706" s="38" t="s">
        <v>9144</v>
      </c>
      <c r="G1706" s="34" t="s">
        <v>9634</v>
      </c>
      <c r="I1706" s="35" t="s">
        <v>12789</v>
      </c>
      <c r="J1706" s="36" t="s">
        <v>1272</v>
      </c>
    </row>
    <row r="1707" spans="1:10" x14ac:dyDescent="0.25">
      <c r="A1707" s="31" t="s">
        <v>2086</v>
      </c>
      <c r="B1707" s="31">
        <v>47.049900000000001</v>
      </c>
      <c r="C1707" s="32" t="s">
        <v>12800</v>
      </c>
      <c r="D1707" s="31" t="s">
        <v>12758</v>
      </c>
      <c r="E1707" s="40" t="s">
        <v>12801</v>
      </c>
      <c r="F1707" s="38" t="s">
        <v>9144</v>
      </c>
      <c r="G1707" s="34" t="s">
        <v>9634</v>
      </c>
      <c r="I1707" s="35" t="s">
        <v>12789</v>
      </c>
      <c r="J1707" s="36" t="s">
        <v>2086</v>
      </c>
    </row>
    <row r="1708" spans="1:10" x14ac:dyDescent="0.25">
      <c r="A1708" s="31" t="s">
        <v>2087</v>
      </c>
      <c r="B1708" s="31">
        <v>47.06</v>
      </c>
      <c r="C1708" s="32" t="s">
        <v>12802</v>
      </c>
      <c r="D1708" s="31" t="s">
        <v>12758</v>
      </c>
      <c r="E1708" s="40" t="s">
        <v>9635</v>
      </c>
      <c r="F1708" s="38" t="s">
        <v>9144</v>
      </c>
      <c r="G1708" s="34" t="s">
        <v>9635</v>
      </c>
      <c r="H1708" s="34" t="s">
        <v>9635</v>
      </c>
      <c r="I1708" s="35" t="s">
        <v>12802</v>
      </c>
      <c r="J1708" s="36" t="s">
        <v>2087</v>
      </c>
    </row>
    <row r="1709" spans="1:10" x14ac:dyDescent="0.25">
      <c r="A1709" s="31" t="s">
        <v>2088</v>
      </c>
      <c r="B1709" s="31">
        <v>47.06</v>
      </c>
      <c r="C1709" s="32" t="s">
        <v>12803</v>
      </c>
      <c r="D1709" s="31" t="s">
        <v>12758</v>
      </c>
      <c r="E1709" s="40" t="s">
        <v>12804</v>
      </c>
      <c r="F1709" s="38" t="s">
        <v>9144</v>
      </c>
      <c r="G1709" s="34" t="s">
        <v>9635</v>
      </c>
      <c r="I1709" s="35" t="s">
        <v>12802</v>
      </c>
      <c r="J1709" s="36" t="s">
        <v>2088</v>
      </c>
    </row>
    <row r="1710" spans="1:10" x14ac:dyDescent="0.25">
      <c r="A1710" s="31" t="s">
        <v>1273</v>
      </c>
      <c r="B1710" s="31">
        <v>47.060299999999998</v>
      </c>
      <c r="C1710" s="32" t="s">
        <v>12805</v>
      </c>
      <c r="D1710" s="31" t="s">
        <v>12758</v>
      </c>
      <c r="E1710" s="40" t="s">
        <v>12806</v>
      </c>
      <c r="F1710" s="38" t="s">
        <v>9144</v>
      </c>
      <c r="G1710" s="34" t="s">
        <v>9635</v>
      </c>
      <c r="I1710" s="35" t="s">
        <v>12802</v>
      </c>
      <c r="J1710" s="36" t="s">
        <v>1273</v>
      </c>
    </row>
    <row r="1711" spans="1:10" x14ac:dyDescent="0.25">
      <c r="A1711" s="31" t="s">
        <v>1274</v>
      </c>
      <c r="B1711" s="31">
        <v>47.060400000000001</v>
      </c>
      <c r="C1711" s="32" t="s">
        <v>12807</v>
      </c>
      <c r="D1711" s="31" t="s">
        <v>12758</v>
      </c>
      <c r="E1711" s="40" t="s">
        <v>12808</v>
      </c>
      <c r="F1711" s="38" t="s">
        <v>9144</v>
      </c>
      <c r="G1711" s="34" t="s">
        <v>9635</v>
      </c>
      <c r="I1711" s="35" t="s">
        <v>12802</v>
      </c>
      <c r="J1711" s="36" t="s">
        <v>1274</v>
      </c>
    </row>
    <row r="1712" spans="1:10" x14ac:dyDescent="0.25">
      <c r="A1712" s="31" t="s">
        <v>1275</v>
      </c>
      <c r="B1712" s="31">
        <v>47.060499999999998</v>
      </c>
      <c r="C1712" s="32" t="s">
        <v>12809</v>
      </c>
      <c r="D1712" s="31" t="s">
        <v>12758</v>
      </c>
      <c r="E1712" s="40" t="s">
        <v>12810</v>
      </c>
      <c r="F1712" s="38" t="s">
        <v>9144</v>
      </c>
      <c r="G1712" s="34" t="s">
        <v>9635</v>
      </c>
      <c r="I1712" s="35" t="s">
        <v>12802</v>
      </c>
      <c r="J1712" s="36" t="s">
        <v>1275</v>
      </c>
    </row>
    <row r="1713" spans="1:10" x14ac:dyDescent="0.25">
      <c r="A1713" s="31" t="s">
        <v>1276</v>
      </c>
      <c r="B1713" s="31">
        <v>47.060600000000001</v>
      </c>
      <c r="C1713" s="32" t="s">
        <v>12811</v>
      </c>
      <c r="D1713" s="31" t="s">
        <v>12758</v>
      </c>
      <c r="E1713" s="40" t="s">
        <v>12812</v>
      </c>
      <c r="F1713" s="38" t="s">
        <v>9144</v>
      </c>
      <c r="G1713" s="34" t="s">
        <v>9635</v>
      </c>
      <c r="I1713" s="35" t="s">
        <v>12802</v>
      </c>
      <c r="J1713" s="36" t="s">
        <v>1276</v>
      </c>
    </row>
    <row r="1714" spans="1:10" x14ac:dyDescent="0.25">
      <c r="A1714" s="31" t="s">
        <v>1277</v>
      </c>
      <c r="B1714" s="31">
        <v>47.060699999999997</v>
      </c>
      <c r="C1714" s="32" t="s">
        <v>12813</v>
      </c>
      <c r="D1714" s="31" t="s">
        <v>12758</v>
      </c>
      <c r="E1714" s="40" t="s">
        <v>12814</v>
      </c>
      <c r="F1714" s="38" t="s">
        <v>9144</v>
      </c>
      <c r="G1714" s="34" t="s">
        <v>9635</v>
      </c>
      <c r="I1714" s="35" t="s">
        <v>12802</v>
      </c>
      <c r="J1714" s="36" t="s">
        <v>1277</v>
      </c>
    </row>
    <row r="1715" spans="1:10" x14ac:dyDescent="0.25">
      <c r="A1715" s="31" t="s">
        <v>1278</v>
      </c>
      <c r="B1715" s="31">
        <v>47.0608</v>
      </c>
      <c r="C1715" s="32" t="s">
        <v>12815</v>
      </c>
      <c r="D1715" s="31" t="s">
        <v>12758</v>
      </c>
      <c r="E1715" s="40" t="s">
        <v>12816</v>
      </c>
      <c r="F1715" s="38" t="s">
        <v>9144</v>
      </c>
      <c r="G1715" s="34" t="s">
        <v>9635</v>
      </c>
      <c r="I1715" s="35" t="s">
        <v>12802</v>
      </c>
      <c r="J1715" s="36" t="s">
        <v>1278</v>
      </c>
    </row>
    <row r="1716" spans="1:10" x14ac:dyDescent="0.25">
      <c r="A1716" s="31" t="s">
        <v>1279</v>
      </c>
      <c r="B1716" s="31">
        <v>47.060899999999997</v>
      </c>
      <c r="C1716" s="32" t="s">
        <v>12817</v>
      </c>
      <c r="D1716" s="31" t="s">
        <v>12758</v>
      </c>
      <c r="E1716" s="40" t="s">
        <v>12818</v>
      </c>
      <c r="F1716" s="38" t="s">
        <v>9144</v>
      </c>
      <c r="G1716" s="34" t="s">
        <v>9635</v>
      </c>
      <c r="I1716" s="35" t="s">
        <v>12802</v>
      </c>
      <c r="J1716" s="36" t="s">
        <v>1279</v>
      </c>
    </row>
    <row r="1717" spans="1:10" x14ac:dyDescent="0.25">
      <c r="A1717" s="31" t="s">
        <v>1280</v>
      </c>
      <c r="B1717" s="31">
        <v>47.061</v>
      </c>
      <c r="C1717" s="32" t="s">
        <v>12819</v>
      </c>
      <c r="D1717" s="31" t="s">
        <v>12758</v>
      </c>
      <c r="E1717" s="40" t="s">
        <v>12820</v>
      </c>
      <c r="F1717" s="38" t="s">
        <v>9144</v>
      </c>
      <c r="G1717" s="34" t="s">
        <v>9635</v>
      </c>
      <c r="I1717" s="35" t="s">
        <v>12802</v>
      </c>
      <c r="J1717" s="36" t="s">
        <v>1280</v>
      </c>
    </row>
    <row r="1718" spans="1:10" x14ac:dyDescent="0.25">
      <c r="A1718" s="31" t="s">
        <v>1281</v>
      </c>
      <c r="B1718" s="31">
        <v>47.061100000000003</v>
      </c>
      <c r="C1718" s="32" t="s">
        <v>12821</v>
      </c>
      <c r="D1718" s="31" t="s">
        <v>12758</v>
      </c>
      <c r="E1718" s="40" t="s">
        <v>12822</v>
      </c>
      <c r="F1718" s="38" t="s">
        <v>9144</v>
      </c>
      <c r="G1718" s="34" t="s">
        <v>9635</v>
      </c>
      <c r="I1718" s="35" t="s">
        <v>12802</v>
      </c>
      <c r="J1718" s="36" t="s">
        <v>1281</v>
      </c>
    </row>
    <row r="1719" spans="1:10" x14ac:dyDescent="0.25">
      <c r="A1719" s="31" t="s">
        <v>1282</v>
      </c>
      <c r="B1719" s="31">
        <v>47.061199999999999</v>
      </c>
      <c r="C1719" s="32" t="s">
        <v>12823</v>
      </c>
      <c r="D1719" s="31" t="s">
        <v>12758</v>
      </c>
      <c r="E1719" s="40" t="s">
        <v>12824</v>
      </c>
      <c r="F1719" s="38" t="s">
        <v>9144</v>
      </c>
      <c r="G1719" s="34" t="s">
        <v>9635</v>
      </c>
      <c r="I1719" s="35" t="s">
        <v>12802</v>
      </c>
      <c r="J1719" s="36" t="s">
        <v>1282</v>
      </c>
    </row>
    <row r="1720" spans="1:10" x14ac:dyDescent="0.25">
      <c r="A1720" s="31" t="s">
        <v>1283</v>
      </c>
      <c r="B1720" s="31">
        <v>47.061300000000003</v>
      </c>
      <c r="C1720" s="32" t="s">
        <v>12825</v>
      </c>
      <c r="D1720" s="31" t="s">
        <v>12758</v>
      </c>
      <c r="E1720" s="40" t="s">
        <v>12826</v>
      </c>
      <c r="F1720" s="38" t="s">
        <v>9144</v>
      </c>
      <c r="G1720" s="34" t="s">
        <v>9635</v>
      </c>
      <c r="I1720" s="35" t="s">
        <v>12802</v>
      </c>
      <c r="J1720" s="36" t="s">
        <v>1283</v>
      </c>
    </row>
    <row r="1721" spans="1:10" x14ac:dyDescent="0.25">
      <c r="A1721" s="31" t="s">
        <v>1284</v>
      </c>
      <c r="B1721" s="31">
        <v>47.061399999999999</v>
      </c>
      <c r="C1721" s="32" t="s">
        <v>12827</v>
      </c>
      <c r="D1721" s="31" t="s">
        <v>12758</v>
      </c>
      <c r="E1721" s="40" t="s">
        <v>12828</v>
      </c>
      <c r="F1721" s="38" t="s">
        <v>9144</v>
      </c>
      <c r="G1721" s="34" t="s">
        <v>9635</v>
      </c>
      <c r="I1721" s="35" t="s">
        <v>12802</v>
      </c>
      <c r="J1721" s="36" t="s">
        <v>1284</v>
      </c>
    </row>
    <row r="1722" spans="1:10" x14ac:dyDescent="0.25">
      <c r="A1722" s="31" t="s">
        <v>1285</v>
      </c>
      <c r="B1722" s="31">
        <v>47.061500000000002</v>
      </c>
      <c r="C1722" s="32" t="s">
        <v>12829</v>
      </c>
      <c r="D1722" s="31" t="s">
        <v>12758</v>
      </c>
      <c r="E1722" s="40" t="s">
        <v>12830</v>
      </c>
      <c r="F1722" s="38" t="s">
        <v>9144</v>
      </c>
      <c r="G1722" s="34" t="s">
        <v>9635</v>
      </c>
      <c r="I1722" s="35" t="s">
        <v>12802</v>
      </c>
      <c r="J1722" s="36" t="s">
        <v>1285</v>
      </c>
    </row>
    <row r="1723" spans="1:10" x14ac:dyDescent="0.25">
      <c r="A1723" s="31" t="s">
        <v>1286</v>
      </c>
      <c r="B1723" s="31">
        <v>47.061599999999999</v>
      </c>
      <c r="C1723" s="32" t="s">
        <v>12831</v>
      </c>
      <c r="D1723" s="31" t="s">
        <v>12758</v>
      </c>
      <c r="E1723" s="40" t="s">
        <v>12832</v>
      </c>
      <c r="F1723" s="38" t="s">
        <v>9144</v>
      </c>
      <c r="G1723" s="34" t="s">
        <v>9635</v>
      </c>
      <c r="I1723" s="35" t="s">
        <v>12802</v>
      </c>
      <c r="J1723" s="36" t="s">
        <v>1286</v>
      </c>
    </row>
    <row r="1724" spans="1:10" x14ac:dyDescent="0.25">
      <c r="A1724" s="31" t="s">
        <v>1287</v>
      </c>
      <c r="B1724" s="31">
        <v>47.061700000000002</v>
      </c>
      <c r="C1724" s="32" t="s">
        <v>12833</v>
      </c>
      <c r="D1724" s="31" t="s">
        <v>12758</v>
      </c>
      <c r="E1724" s="40" t="s">
        <v>12834</v>
      </c>
      <c r="F1724" s="38" t="s">
        <v>9144</v>
      </c>
      <c r="G1724" s="34" t="s">
        <v>9635</v>
      </c>
      <c r="I1724" s="35" t="s">
        <v>12802</v>
      </c>
      <c r="J1724" s="36" t="s">
        <v>1287</v>
      </c>
    </row>
    <row r="1725" spans="1:10" x14ac:dyDescent="0.25">
      <c r="A1725" s="31" t="s">
        <v>1288</v>
      </c>
      <c r="B1725" s="31">
        <v>47.061799999999998</v>
      </c>
      <c r="C1725" s="32" t="s">
        <v>12835</v>
      </c>
      <c r="D1725" s="31" t="s">
        <v>12758</v>
      </c>
      <c r="E1725" s="40" t="s">
        <v>12836</v>
      </c>
      <c r="F1725" s="38" t="s">
        <v>9144</v>
      </c>
      <c r="G1725" s="34" t="s">
        <v>9635</v>
      </c>
      <c r="I1725" s="35" t="s">
        <v>12802</v>
      </c>
      <c r="J1725" s="36" t="s">
        <v>1288</v>
      </c>
    </row>
    <row r="1726" spans="1:10" x14ac:dyDescent="0.25">
      <c r="A1726" s="31" t="s">
        <v>2089</v>
      </c>
      <c r="B1726" s="31">
        <v>47.069899999999997</v>
      </c>
      <c r="C1726" s="32" t="s">
        <v>12837</v>
      </c>
      <c r="D1726" s="31" t="s">
        <v>12758</v>
      </c>
      <c r="E1726" s="40" t="s">
        <v>12838</v>
      </c>
      <c r="F1726" s="38" t="s">
        <v>9144</v>
      </c>
      <c r="G1726" s="34" t="s">
        <v>9635</v>
      </c>
      <c r="I1726" s="35" t="s">
        <v>12802</v>
      </c>
      <c r="J1726" s="36" t="s">
        <v>2089</v>
      </c>
    </row>
    <row r="1727" spans="1:10" x14ac:dyDescent="0.25">
      <c r="A1727" s="31" t="s">
        <v>2090</v>
      </c>
      <c r="B1727" s="31">
        <v>47.07</v>
      </c>
      <c r="C1727" s="32" t="s">
        <v>12839</v>
      </c>
      <c r="D1727" s="31" t="s">
        <v>12758</v>
      </c>
      <c r="E1727" s="40" t="s">
        <v>9636</v>
      </c>
      <c r="F1727" s="38" t="s">
        <v>9144</v>
      </c>
      <c r="G1727" s="34" t="s">
        <v>9636</v>
      </c>
      <c r="H1727" s="34" t="s">
        <v>9636</v>
      </c>
      <c r="I1727" s="35" t="s">
        <v>12839</v>
      </c>
      <c r="J1727" s="36" t="s">
        <v>2090</v>
      </c>
    </row>
    <row r="1728" spans="1:10" x14ac:dyDescent="0.25">
      <c r="A1728" s="31" t="s">
        <v>2091</v>
      </c>
      <c r="B1728" s="31">
        <v>47.070099999999996</v>
      </c>
      <c r="C1728" s="32" t="s">
        <v>12840</v>
      </c>
      <c r="D1728" s="31" t="s">
        <v>12758</v>
      </c>
      <c r="E1728" s="40" t="s">
        <v>12841</v>
      </c>
      <c r="F1728" s="38" t="s">
        <v>9144</v>
      </c>
      <c r="G1728" s="34" t="s">
        <v>9636</v>
      </c>
      <c r="I1728" s="35" t="s">
        <v>12839</v>
      </c>
      <c r="J1728" s="36" t="s">
        <v>2091</v>
      </c>
    </row>
    <row r="1729" spans="1:10" x14ac:dyDescent="0.25">
      <c r="A1729" s="31" t="s">
        <v>2092</v>
      </c>
      <c r="B1729" s="31">
        <v>47.070300000000003</v>
      </c>
      <c r="C1729" s="32" t="s">
        <v>12842</v>
      </c>
      <c r="D1729" s="31" t="s">
        <v>12758</v>
      </c>
      <c r="E1729" s="40" t="s">
        <v>12843</v>
      </c>
      <c r="F1729" s="38" t="s">
        <v>9144</v>
      </c>
      <c r="G1729" s="34" t="s">
        <v>9636</v>
      </c>
      <c r="I1729" s="35" t="s">
        <v>12839</v>
      </c>
      <c r="J1729" s="36" t="s">
        <v>2092</v>
      </c>
    </row>
    <row r="1730" spans="1:10" x14ac:dyDescent="0.25">
      <c r="A1730" s="31" t="s">
        <v>2093</v>
      </c>
      <c r="B1730" s="31">
        <v>47.070399999999999</v>
      </c>
      <c r="C1730" s="32" t="s">
        <v>12844</v>
      </c>
      <c r="D1730" s="31" t="s">
        <v>12758</v>
      </c>
      <c r="E1730" s="40" t="s">
        <v>12845</v>
      </c>
      <c r="F1730" s="38" t="s">
        <v>9144</v>
      </c>
      <c r="G1730" s="34" t="s">
        <v>9636</v>
      </c>
      <c r="I1730" s="35" t="s">
        <v>12839</v>
      </c>
      <c r="J1730" s="36" t="s">
        <v>2093</v>
      </c>
    </row>
    <row r="1731" spans="1:10" x14ac:dyDescent="0.25">
      <c r="A1731" s="31" t="s">
        <v>2094</v>
      </c>
      <c r="B1731" s="31">
        <v>47.070500000000003</v>
      </c>
      <c r="C1731" s="32" t="s">
        <v>12846</v>
      </c>
      <c r="D1731" s="31" t="s">
        <v>12758</v>
      </c>
      <c r="E1731" s="40" t="s">
        <v>12847</v>
      </c>
      <c r="F1731" s="38" t="s">
        <v>9144</v>
      </c>
      <c r="G1731" s="34" t="s">
        <v>9636</v>
      </c>
      <c r="I1731" s="35" t="s">
        <v>12839</v>
      </c>
      <c r="J1731" s="36" t="s">
        <v>2094</v>
      </c>
    </row>
    <row r="1732" spans="1:10" x14ac:dyDescent="0.25">
      <c r="A1732" s="31" t="s">
        <v>2095</v>
      </c>
      <c r="B1732" s="31">
        <v>47.070599999999999</v>
      </c>
      <c r="C1732" s="32" t="s">
        <v>12848</v>
      </c>
      <c r="D1732" s="31" t="s">
        <v>12758</v>
      </c>
      <c r="E1732" s="40" t="s">
        <v>12849</v>
      </c>
      <c r="F1732" s="38" t="s">
        <v>9144</v>
      </c>
      <c r="G1732" s="34" t="s">
        <v>9636</v>
      </c>
      <c r="I1732" s="35" t="s">
        <v>12839</v>
      </c>
      <c r="J1732" s="36" t="s">
        <v>2095</v>
      </c>
    </row>
    <row r="1733" spans="1:10" x14ac:dyDescent="0.25">
      <c r="A1733" s="31" t="s">
        <v>2096</v>
      </c>
      <c r="B1733" s="31">
        <v>47.079900000000002</v>
      </c>
      <c r="C1733" s="32" t="s">
        <v>12850</v>
      </c>
      <c r="D1733" s="31" t="s">
        <v>12758</v>
      </c>
      <c r="E1733" s="40" t="s">
        <v>12851</v>
      </c>
      <c r="F1733" s="38" t="s">
        <v>9144</v>
      </c>
      <c r="G1733" s="34" t="s">
        <v>9636</v>
      </c>
      <c r="I1733" s="35" t="s">
        <v>12839</v>
      </c>
      <c r="J1733" s="36" t="s">
        <v>2096</v>
      </c>
    </row>
    <row r="1734" spans="1:10" x14ac:dyDescent="0.25">
      <c r="A1734" s="31" t="s">
        <v>1289</v>
      </c>
      <c r="B1734" s="31">
        <v>47.99</v>
      </c>
      <c r="C1734" s="32" t="s">
        <v>12852</v>
      </c>
      <c r="D1734" s="31" t="s">
        <v>12758</v>
      </c>
      <c r="E1734" s="40" t="s">
        <v>9637</v>
      </c>
      <c r="F1734" s="38" t="s">
        <v>9144</v>
      </c>
      <c r="G1734" s="34" t="s">
        <v>9637</v>
      </c>
      <c r="H1734" s="34" t="s">
        <v>9637</v>
      </c>
      <c r="I1734" s="35" t="s">
        <v>12852</v>
      </c>
      <c r="J1734" s="36" t="s">
        <v>1289</v>
      </c>
    </row>
    <row r="1735" spans="1:10" x14ac:dyDescent="0.25">
      <c r="A1735" s="31" t="s">
        <v>1289</v>
      </c>
      <c r="B1735" s="31">
        <v>47.999899999999997</v>
      </c>
      <c r="C1735" s="32" t="s">
        <v>12853</v>
      </c>
      <c r="D1735" s="31" t="s">
        <v>12758</v>
      </c>
      <c r="E1735" s="40" t="s">
        <v>12854</v>
      </c>
      <c r="F1735" s="38" t="s">
        <v>9144</v>
      </c>
      <c r="G1735" s="34" t="s">
        <v>9637</v>
      </c>
      <c r="I1735" s="35" t="s">
        <v>12852</v>
      </c>
      <c r="J1735" s="36" t="s">
        <v>1289</v>
      </c>
    </row>
    <row r="1736" spans="1:10" x14ac:dyDescent="0.25">
      <c r="A1736" s="31" t="s">
        <v>1291</v>
      </c>
      <c r="B1736" s="31">
        <v>48</v>
      </c>
      <c r="C1736" s="32" t="s">
        <v>12855</v>
      </c>
      <c r="D1736" s="31" t="s">
        <v>12856</v>
      </c>
      <c r="E1736" s="40" t="s">
        <v>9638</v>
      </c>
      <c r="F1736" s="38" t="s">
        <v>9147</v>
      </c>
      <c r="G1736" s="34" t="s">
        <v>9638</v>
      </c>
      <c r="H1736" s="34" t="s">
        <v>9638</v>
      </c>
      <c r="I1736" s="35" t="s">
        <v>12855</v>
      </c>
      <c r="J1736" s="36" t="s">
        <v>1291</v>
      </c>
    </row>
    <row r="1737" spans="1:10" x14ac:dyDescent="0.25">
      <c r="A1737" s="31" t="s">
        <v>1291</v>
      </c>
      <c r="B1737" s="31">
        <v>48</v>
      </c>
      <c r="C1737" s="32" t="s">
        <v>12857</v>
      </c>
      <c r="D1737" s="31" t="s">
        <v>12856</v>
      </c>
      <c r="E1737" s="40" t="s">
        <v>12858</v>
      </c>
      <c r="F1737" s="38" t="s">
        <v>9147</v>
      </c>
      <c r="G1737" s="34" t="s">
        <v>9638</v>
      </c>
      <c r="I1737" s="35" t="s">
        <v>12855</v>
      </c>
      <c r="J1737" s="36" t="s">
        <v>1291</v>
      </c>
    </row>
    <row r="1738" spans="1:10" x14ac:dyDescent="0.25">
      <c r="A1738" s="31" t="s">
        <v>1290</v>
      </c>
      <c r="B1738" s="31">
        <v>48</v>
      </c>
      <c r="C1738" s="32" t="s">
        <v>12856</v>
      </c>
      <c r="D1738" s="31" t="s">
        <v>12856</v>
      </c>
      <c r="E1738" s="40" t="s">
        <v>9639</v>
      </c>
      <c r="F1738" s="38" t="s">
        <v>9147</v>
      </c>
      <c r="G1738" s="34" t="s">
        <v>9639</v>
      </c>
      <c r="H1738" s="34" t="s">
        <v>9639</v>
      </c>
      <c r="I1738" s="45" t="s">
        <v>12856</v>
      </c>
      <c r="J1738" s="36" t="s">
        <v>1290</v>
      </c>
    </row>
    <row r="1739" spans="1:10" x14ac:dyDescent="0.25">
      <c r="A1739" s="31" t="s">
        <v>1292</v>
      </c>
      <c r="B1739" s="31">
        <v>48.03</v>
      </c>
      <c r="C1739" s="32" t="s">
        <v>12859</v>
      </c>
      <c r="D1739" s="31" t="s">
        <v>12856</v>
      </c>
      <c r="E1739" s="40" t="s">
        <v>9640</v>
      </c>
      <c r="F1739" s="38" t="s">
        <v>9147</v>
      </c>
      <c r="G1739" s="34" t="s">
        <v>9640</v>
      </c>
      <c r="H1739" s="34" t="s">
        <v>9640</v>
      </c>
      <c r="I1739" s="35" t="s">
        <v>12859</v>
      </c>
      <c r="J1739" s="36" t="s">
        <v>1292</v>
      </c>
    </row>
    <row r="1740" spans="1:10" x14ac:dyDescent="0.25">
      <c r="A1740" s="31" t="s">
        <v>1293</v>
      </c>
      <c r="B1740" s="31">
        <v>48.030299999999997</v>
      </c>
      <c r="C1740" s="32" t="s">
        <v>12860</v>
      </c>
      <c r="D1740" s="31" t="s">
        <v>12856</v>
      </c>
      <c r="E1740" s="40" t="s">
        <v>12861</v>
      </c>
      <c r="F1740" s="38" t="s">
        <v>9147</v>
      </c>
      <c r="G1740" s="34" t="s">
        <v>9640</v>
      </c>
      <c r="I1740" s="35" t="s">
        <v>12859</v>
      </c>
      <c r="J1740" s="36" t="s">
        <v>1293</v>
      </c>
    </row>
    <row r="1741" spans="1:10" x14ac:dyDescent="0.25">
      <c r="A1741" s="31" t="s">
        <v>1294</v>
      </c>
      <c r="B1741" s="31">
        <v>48.0304</v>
      </c>
      <c r="C1741" s="32" t="s">
        <v>12862</v>
      </c>
      <c r="D1741" s="31" t="s">
        <v>12856</v>
      </c>
      <c r="E1741" s="40" t="s">
        <v>12863</v>
      </c>
      <c r="F1741" s="38" t="s">
        <v>9147</v>
      </c>
      <c r="G1741" s="34" t="s">
        <v>9640</v>
      </c>
      <c r="I1741" s="35" t="s">
        <v>12859</v>
      </c>
      <c r="J1741" s="36" t="s">
        <v>1294</v>
      </c>
    </row>
    <row r="1742" spans="1:10" x14ac:dyDescent="0.25">
      <c r="A1742" s="31" t="s">
        <v>1295</v>
      </c>
      <c r="B1742" s="31">
        <v>48.039900000000003</v>
      </c>
      <c r="C1742" s="32" t="s">
        <v>12864</v>
      </c>
      <c r="D1742" s="31" t="s">
        <v>12856</v>
      </c>
      <c r="E1742" s="40" t="s">
        <v>12865</v>
      </c>
      <c r="F1742" s="38" t="s">
        <v>9147</v>
      </c>
      <c r="G1742" s="34" t="s">
        <v>9640</v>
      </c>
      <c r="I1742" s="35" t="s">
        <v>12859</v>
      </c>
      <c r="J1742" s="36" t="s">
        <v>1295</v>
      </c>
    </row>
    <row r="1743" spans="1:10" x14ac:dyDescent="0.25">
      <c r="A1743" s="31" t="s">
        <v>1296</v>
      </c>
      <c r="B1743" s="31">
        <v>48.05</v>
      </c>
      <c r="C1743" s="32" t="s">
        <v>12866</v>
      </c>
      <c r="D1743" s="31" t="s">
        <v>12856</v>
      </c>
      <c r="E1743" s="40" t="s">
        <v>9641</v>
      </c>
      <c r="F1743" s="38" t="s">
        <v>9147</v>
      </c>
      <c r="G1743" s="34" t="s">
        <v>9641</v>
      </c>
      <c r="H1743" s="34" t="s">
        <v>9641</v>
      </c>
      <c r="I1743" s="35" t="s">
        <v>12866</v>
      </c>
      <c r="J1743" s="36" t="s">
        <v>1296</v>
      </c>
    </row>
    <row r="1744" spans="1:10" x14ac:dyDescent="0.25">
      <c r="A1744" s="31" t="s">
        <v>1297</v>
      </c>
      <c r="B1744" s="31">
        <v>48.0501</v>
      </c>
      <c r="C1744" s="32" t="s">
        <v>12867</v>
      </c>
      <c r="D1744" s="31" t="s">
        <v>12856</v>
      </c>
      <c r="E1744" s="40" t="s">
        <v>12868</v>
      </c>
      <c r="F1744" s="38" t="s">
        <v>9147</v>
      </c>
      <c r="G1744" s="34" t="s">
        <v>9641</v>
      </c>
      <c r="I1744" s="35" t="s">
        <v>12866</v>
      </c>
      <c r="J1744" s="36" t="s">
        <v>1297</v>
      </c>
    </row>
    <row r="1745" spans="1:10" x14ac:dyDescent="0.25">
      <c r="A1745" s="31" t="s">
        <v>1298</v>
      </c>
      <c r="B1745" s="31">
        <v>48.0503</v>
      </c>
      <c r="C1745" s="32" t="s">
        <v>12869</v>
      </c>
      <c r="D1745" s="31" t="s">
        <v>12856</v>
      </c>
      <c r="E1745" s="40" t="s">
        <v>12870</v>
      </c>
      <c r="F1745" s="38" t="s">
        <v>9147</v>
      </c>
      <c r="G1745" s="34" t="s">
        <v>9641</v>
      </c>
      <c r="I1745" s="35" t="s">
        <v>12866</v>
      </c>
      <c r="J1745" s="36" t="s">
        <v>1298</v>
      </c>
    </row>
    <row r="1746" spans="1:10" x14ac:dyDescent="0.25">
      <c r="A1746" s="31" t="s">
        <v>1299</v>
      </c>
      <c r="B1746" s="31">
        <v>48.050600000000003</v>
      </c>
      <c r="C1746" s="32" t="s">
        <v>12871</v>
      </c>
      <c r="D1746" s="31" t="s">
        <v>12856</v>
      </c>
      <c r="E1746" s="40" t="s">
        <v>12872</v>
      </c>
      <c r="F1746" s="38" t="s">
        <v>9147</v>
      </c>
      <c r="G1746" s="34" t="s">
        <v>9641</v>
      </c>
      <c r="I1746" s="35" t="s">
        <v>12866</v>
      </c>
      <c r="J1746" s="36" t="s">
        <v>1299</v>
      </c>
    </row>
    <row r="1747" spans="1:10" x14ac:dyDescent="0.25">
      <c r="A1747" s="31" t="s">
        <v>1300</v>
      </c>
      <c r="B1747" s="31">
        <v>48.050699999999999</v>
      </c>
      <c r="C1747" s="32" t="s">
        <v>12873</v>
      </c>
      <c r="D1747" s="31" t="s">
        <v>12856</v>
      </c>
      <c r="E1747" s="40" t="s">
        <v>12874</v>
      </c>
      <c r="F1747" s="38" t="s">
        <v>9147</v>
      </c>
      <c r="G1747" s="34" t="s">
        <v>9641</v>
      </c>
      <c r="I1747" s="35" t="s">
        <v>12866</v>
      </c>
      <c r="J1747" s="36" t="s">
        <v>1300</v>
      </c>
    </row>
    <row r="1748" spans="1:10" x14ac:dyDescent="0.25">
      <c r="A1748" s="31" t="s">
        <v>1301</v>
      </c>
      <c r="B1748" s="31">
        <v>48.050800000000002</v>
      </c>
      <c r="C1748" s="32" t="s">
        <v>12875</v>
      </c>
      <c r="D1748" s="31" t="s">
        <v>12856</v>
      </c>
      <c r="E1748" s="40" t="s">
        <v>12876</v>
      </c>
      <c r="F1748" s="38" t="s">
        <v>9147</v>
      </c>
      <c r="G1748" s="34" t="s">
        <v>9641</v>
      </c>
      <c r="I1748" s="35" t="s">
        <v>12866</v>
      </c>
      <c r="J1748" s="36" t="s">
        <v>1301</v>
      </c>
    </row>
    <row r="1749" spans="1:10" x14ac:dyDescent="0.25">
      <c r="A1749" s="31" t="s">
        <v>1302</v>
      </c>
      <c r="B1749" s="31">
        <v>48.050899999999999</v>
      </c>
      <c r="C1749" s="32" t="s">
        <v>12877</v>
      </c>
      <c r="D1749" s="31" t="s">
        <v>12856</v>
      </c>
      <c r="E1749" s="40" t="s">
        <v>12878</v>
      </c>
      <c r="F1749" s="38" t="s">
        <v>9147</v>
      </c>
      <c r="G1749" s="34" t="s">
        <v>9641</v>
      </c>
      <c r="I1749" s="35" t="s">
        <v>12866</v>
      </c>
      <c r="J1749" s="36" t="s">
        <v>1302</v>
      </c>
    </row>
    <row r="1750" spans="1:10" x14ac:dyDescent="0.25">
      <c r="A1750" s="31" t="s">
        <v>1303</v>
      </c>
      <c r="B1750" s="31">
        <v>48.051000000000002</v>
      </c>
      <c r="C1750" s="32" t="s">
        <v>12879</v>
      </c>
      <c r="D1750" s="31" t="s">
        <v>12856</v>
      </c>
      <c r="E1750" s="40" t="s">
        <v>12880</v>
      </c>
      <c r="F1750" s="38" t="s">
        <v>9147</v>
      </c>
      <c r="G1750" s="34" t="s">
        <v>9641</v>
      </c>
      <c r="I1750" s="35" t="s">
        <v>12866</v>
      </c>
      <c r="J1750" s="36" t="s">
        <v>1303</v>
      </c>
    </row>
    <row r="1751" spans="1:10" x14ac:dyDescent="0.25">
      <c r="A1751" s="31" t="s">
        <v>1304</v>
      </c>
      <c r="B1751" s="31">
        <v>48.051099999999998</v>
      </c>
      <c r="C1751" s="32" t="s">
        <v>12881</v>
      </c>
      <c r="D1751" s="31" t="s">
        <v>12856</v>
      </c>
      <c r="E1751" s="40" t="s">
        <v>12882</v>
      </c>
      <c r="F1751" s="38" t="s">
        <v>9147</v>
      </c>
      <c r="G1751" s="34" t="s">
        <v>9641</v>
      </c>
      <c r="I1751" s="35" t="s">
        <v>12866</v>
      </c>
      <c r="J1751" s="36" t="s">
        <v>1304</v>
      </c>
    </row>
    <row r="1752" spans="1:10" x14ac:dyDescent="0.25">
      <c r="A1752" s="31" t="s">
        <v>1305</v>
      </c>
      <c r="B1752" s="31">
        <v>48.059899999999999</v>
      </c>
      <c r="C1752" s="32" t="s">
        <v>12883</v>
      </c>
      <c r="D1752" s="31" t="s">
        <v>12856</v>
      </c>
      <c r="E1752" s="40" t="s">
        <v>12884</v>
      </c>
      <c r="F1752" s="38" t="s">
        <v>9147</v>
      </c>
      <c r="G1752" s="34" t="s">
        <v>9641</v>
      </c>
      <c r="I1752" s="35" t="s">
        <v>12866</v>
      </c>
      <c r="J1752" s="36" t="s">
        <v>1305</v>
      </c>
    </row>
    <row r="1753" spans="1:10" x14ac:dyDescent="0.25">
      <c r="A1753" s="31" t="s">
        <v>1306</v>
      </c>
      <c r="B1753" s="31">
        <v>48.07</v>
      </c>
      <c r="C1753" s="32" t="s">
        <v>12885</v>
      </c>
      <c r="D1753" s="31" t="s">
        <v>12856</v>
      </c>
      <c r="E1753" s="40" t="s">
        <v>9642</v>
      </c>
      <c r="F1753" s="38" t="s">
        <v>9147</v>
      </c>
      <c r="G1753" s="34" t="s">
        <v>9642</v>
      </c>
      <c r="H1753" s="34" t="s">
        <v>9642</v>
      </c>
      <c r="I1753" s="35" t="s">
        <v>12885</v>
      </c>
      <c r="J1753" s="36" t="s">
        <v>1306</v>
      </c>
    </row>
    <row r="1754" spans="1:10" x14ac:dyDescent="0.25">
      <c r="A1754" s="31" t="s">
        <v>1307</v>
      </c>
      <c r="B1754" s="31">
        <v>48.070099999999996</v>
      </c>
      <c r="C1754" s="32" t="s">
        <v>12886</v>
      </c>
      <c r="D1754" s="31" t="s">
        <v>12856</v>
      </c>
      <c r="E1754" s="40" t="s">
        <v>12887</v>
      </c>
      <c r="F1754" s="38" t="s">
        <v>9147</v>
      </c>
      <c r="G1754" s="34" t="s">
        <v>9642</v>
      </c>
      <c r="I1754" s="35" t="s">
        <v>12885</v>
      </c>
      <c r="J1754" s="36" t="s">
        <v>1307</v>
      </c>
    </row>
    <row r="1755" spans="1:10" x14ac:dyDescent="0.25">
      <c r="A1755" s="31" t="s">
        <v>1308</v>
      </c>
      <c r="B1755" s="31">
        <v>48.0702</v>
      </c>
      <c r="C1755" s="32" t="s">
        <v>12888</v>
      </c>
      <c r="D1755" s="31" t="s">
        <v>12856</v>
      </c>
      <c r="E1755" s="40" t="s">
        <v>12889</v>
      </c>
      <c r="F1755" s="38" t="s">
        <v>9147</v>
      </c>
      <c r="G1755" s="34" t="s">
        <v>9642</v>
      </c>
      <c r="I1755" s="35" t="s">
        <v>12885</v>
      </c>
      <c r="J1755" s="36" t="s">
        <v>1308</v>
      </c>
    </row>
    <row r="1756" spans="1:10" x14ac:dyDescent="0.25">
      <c r="A1756" s="31" t="s">
        <v>1309</v>
      </c>
      <c r="B1756" s="31">
        <v>48.070300000000003</v>
      </c>
      <c r="C1756" s="32" t="s">
        <v>12890</v>
      </c>
      <c r="D1756" s="31" t="s">
        <v>12856</v>
      </c>
      <c r="E1756" s="40" t="s">
        <v>12891</v>
      </c>
      <c r="F1756" s="38" t="s">
        <v>9147</v>
      </c>
      <c r="G1756" s="34" t="s">
        <v>9642</v>
      </c>
      <c r="I1756" s="35" t="s">
        <v>12885</v>
      </c>
      <c r="J1756" s="36" t="s">
        <v>1309</v>
      </c>
    </row>
    <row r="1757" spans="1:10" x14ac:dyDescent="0.25">
      <c r="A1757" s="31" t="s">
        <v>2097</v>
      </c>
      <c r="B1757" s="31">
        <v>48.070399999999999</v>
      </c>
      <c r="C1757" s="32" t="s">
        <v>12892</v>
      </c>
      <c r="D1757" s="31" t="s">
        <v>12856</v>
      </c>
      <c r="E1757" s="40" t="s">
        <v>12893</v>
      </c>
      <c r="F1757" s="38" t="s">
        <v>9147</v>
      </c>
      <c r="G1757" s="34" t="s">
        <v>9642</v>
      </c>
      <c r="I1757" s="35" t="s">
        <v>12885</v>
      </c>
      <c r="J1757" s="36" t="s">
        <v>2097</v>
      </c>
    </row>
    <row r="1758" spans="1:10" x14ac:dyDescent="0.25">
      <c r="A1758" s="31" t="s">
        <v>1310</v>
      </c>
      <c r="B1758" s="31">
        <v>48.079900000000002</v>
      </c>
      <c r="C1758" s="32" t="s">
        <v>12894</v>
      </c>
      <c r="D1758" s="31" t="s">
        <v>12856</v>
      </c>
      <c r="E1758" s="40" t="s">
        <v>12895</v>
      </c>
      <c r="F1758" s="38" t="s">
        <v>9147</v>
      </c>
      <c r="G1758" s="34" t="s">
        <v>9642</v>
      </c>
      <c r="I1758" s="35" t="s">
        <v>12885</v>
      </c>
      <c r="J1758" s="36" t="s">
        <v>1310</v>
      </c>
    </row>
    <row r="1759" spans="1:10" x14ac:dyDescent="0.25">
      <c r="A1759" s="31" t="s">
        <v>1311</v>
      </c>
      <c r="B1759" s="31">
        <v>48.08</v>
      </c>
      <c r="C1759" s="32" t="s">
        <v>12896</v>
      </c>
      <c r="D1759" s="31" t="s">
        <v>12856</v>
      </c>
      <c r="E1759" s="40" t="s">
        <v>9643</v>
      </c>
      <c r="F1759" s="38" t="s">
        <v>9147</v>
      </c>
      <c r="G1759" s="34" t="s">
        <v>9643</v>
      </c>
      <c r="H1759" s="34" t="s">
        <v>9643</v>
      </c>
      <c r="I1759" s="35" t="s">
        <v>12896</v>
      </c>
      <c r="J1759" s="36" t="s">
        <v>1311</v>
      </c>
    </row>
    <row r="1760" spans="1:10" x14ac:dyDescent="0.25">
      <c r="A1760" s="31" t="s">
        <v>1311</v>
      </c>
      <c r="B1760" s="31">
        <v>48.080100000000002</v>
      </c>
      <c r="C1760" s="32" t="s">
        <v>12897</v>
      </c>
      <c r="D1760" s="31" t="s">
        <v>12856</v>
      </c>
      <c r="E1760" s="40" t="s">
        <v>12898</v>
      </c>
      <c r="F1760" s="38" t="s">
        <v>9147</v>
      </c>
      <c r="G1760" s="34" t="s">
        <v>9643</v>
      </c>
      <c r="I1760" s="35" t="s">
        <v>12896</v>
      </c>
      <c r="J1760" s="36" t="s">
        <v>1311</v>
      </c>
    </row>
    <row r="1761" spans="1:10" x14ac:dyDescent="0.25">
      <c r="A1761" s="31" t="s">
        <v>1312</v>
      </c>
      <c r="B1761" s="31">
        <v>48.99</v>
      </c>
      <c r="C1761" s="32" t="s">
        <v>12899</v>
      </c>
      <c r="D1761" s="31" t="s">
        <v>12856</v>
      </c>
      <c r="E1761" s="40" t="s">
        <v>9644</v>
      </c>
      <c r="F1761" s="38" t="s">
        <v>9147</v>
      </c>
      <c r="G1761" s="34" t="s">
        <v>9644</v>
      </c>
      <c r="H1761" s="34" t="s">
        <v>9644</v>
      </c>
      <c r="I1761" s="35" t="s">
        <v>12899</v>
      </c>
      <c r="J1761" s="36" t="s">
        <v>1312</v>
      </c>
    </row>
    <row r="1762" spans="1:10" x14ac:dyDescent="0.25">
      <c r="A1762" s="31" t="s">
        <v>1312</v>
      </c>
      <c r="B1762" s="31">
        <v>48.999899999999997</v>
      </c>
      <c r="C1762" s="32" t="s">
        <v>12900</v>
      </c>
      <c r="D1762" s="31" t="s">
        <v>12856</v>
      </c>
      <c r="E1762" s="40" t="s">
        <v>12901</v>
      </c>
      <c r="F1762" s="38" t="s">
        <v>9147</v>
      </c>
      <c r="G1762" s="34" t="s">
        <v>9644</v>
      </c>
      <c r="I1762" s="35" t="s">
        <v>12899</v>
      </c>
      <c r="J1762" s="36" t="s">
        <v>1312</v>
      </c>
    </row>
    <row r="1763" spans="1:10" x14ac:dyDescent="0.25">
      <c r="A1763" s="31" t="s">
        <v>1313</v>
      </c>
      <c r="B1763" s="31">
        <v>49</v>
      </c>
      <c r="C1763" s="32" t="s">
        <v>12902</v>
      </c>
      <c r="D1763" s="31" t="s">
        <v>12902</v>
      </c>
      <c r="E1763" s="40" t="s">
        <v>9645</v>
      </c>
      <c r="F1763" s="38" t="s">
        <v>9150</v>
      </c>
      <c r="G1763" s="34" t="s">
        <v>9645</v>
      </c>
      <c r="H1763" s="34" t="s">
        <v>9645</v>
      </c>
      <c r="I1763" s="45" t="s">
        <v>12902</v>
      </c>
      <c r="J1763" s="36" t="s">
        <v>1313</v>
      </c>
    </row>
    <row r="1764" spans="1:10" x14ac:dyDescent="0.25">
      <c r="A1764" s="31" t="s">
        <v>1314</v>
      </c>
      <c r="B1764" s="31">
        <v>49.01</v>
      </c>
      <c r="C1764" s="32" t="s">
        <v>12903</v>
      </c>
      <c r="D1764" s="31" t="s">
        <v>12902</v>
      </c>
      <c r="E1764" s="40" t="s">
        <v>9646</v>
      </c>
      <c r="F1764" s="38" t="s">
        <v>9150</v>
      </c>
      <c r="G1764" s="34" t="s">
        <v>9646</v>
      </c>
      <c r="H1764" s="34" t="s">
        <v>9646</v>
      </c>
      <c r="I1764" s="44" t="s">
        <v>12903</v>
      </c>
      <c r="J1764" s="36" t="s">
        <v>1314</v>
      </c>
    </row>
    <row r="1765" spans="1:10" x14ac:dyDescent="0.25">
      <c r="A1765" s="31" t="s">
        <v>1315</v>
      </c>
      <c r="B1765" s="31">
        <v>49.010100000000001</v>
      </c>
      <c r="C1765" s="32" t="s">
        <v>12904</v>
      </c>
      <c r="D1765" s="31" t="s">
        <v>12902</v>
      </c>
      <c r="E1765" s="40" t="s">
        <v>12905</v>
      </c>
      <c r="F1765" s="38" t="s">
        <v>9150</v>
      </c>
      <c r="G1765" s="34" t="s">
        <v>9646</v>
      </c>
      <c r="I1765" s="44" t="s">
        <v>12903</v>
      </c>
      <c r="J1765" s="36" t="s">
        <v>1315</v>
      </c>
    </row>
    <row r="1766" spans="1:10" x14ac:dyDescent="0.25">
      <c r="A1766" s="31" t="s">
        <v>1316</v>
      </c>
      <c r="B1766" s="31">
        <v>49.010199999999998</v>
      </c>
      <c r="C1766" s="32" t="s">
        <v>12906</v>
      </c>
      <c r="D1766" s="31" t="s">
        <v>12902</v>
      </c>
      <c r="E1766" s="40" t="s">
        <v>12907</v>
      </c>
      <c r="F1766" s="38" t="s">
        <v>9150</v>
      </c>
      <c r="G1766" s="34" t="s">
        <v>9646</v>
      </c>
      <c r="I1766" s="44" t="s">
        <v>12903</v>
      </c>
      <c r="J1766" s="36" t="s">
        <v>1316</v>
      </c>
    </row>
    <row r="1767" spans="1:10" x14ac:dyDescent="0.25">
      <c r="A1767" s="31" t="s">
        <v>1317</v>
      </c>
      <c r="B1767" s="31">
        <v>49.010399999999997</v>
      </c>
      <c r="C1767" s="32" t="s">
        <v>12908</v>
      </c>
      <c r="D1767" s="31" t="s">
        <v>12902</v>
      </c>
      <c r="E1767" s="40" t="s">
        <v>12909</v>
      </c>
      <c r="F1767" s="38" t="s">
        <v>9150</v>
      </c>
      <c r="G1767" s="34" t="s">
        <v>9646</v>
      </c>
      <c r="I1767" s="44" t="s">
        <v>12903</v>
      </c>
      <c r="J1767" s="36" t="s">
        <v>1317</v>
      </c>
    </row>
    <row r="1768" spans="1:10" x14ac:dyDescent="0.25">
      <c r="A1768" s="31" t="s">
        <v>1318</v>
      </c>
      <c r="B1768" s="31">
        <v>49.0105</v>
      </c>
      <c r="C1768" s="32" t="s">
        <v>12910</v>
      </c>
      <c r="D1768" s="31" t="s">
        <v>12902</v>
      </c>
      <c r="E1768" s="40" t="s">
        <v>12911</v>
      </c>
      <c r="F1768" s="38" t="s">
        <v>9150</v>
      </c>
      <c r="G1768" s="34" t="s">
        <v>9646</v>
      </c>
      <c r="I1768" s="44" t="s">
        <v>12903</v>
      </c>
      <c r="J1768" s="36" t="s">
        <v>1318</v>
      </c>
    </row>
    <row r="1769" spans="1:10" x14ac:dyDescent="0.25">
      <c r="A1769" s="31" t="s">
        <v>1319</v>
      </c>
      <c r="B1769" s="31">
        <v>49.010599999999997</v>
      </c>
      <c r="C1769" s="32" t="s">
        <v>12912</v>
      </c>
      <c r="D1769" s="31" t="s">
        <v>12902</v>
      </c>
      <c r="E1769" s="40" t="s">
        <v>12913</v>
      </c>
      <c r="F1769" s="38" t="s">
        <v>9150</v>
      </c>
      <c r="G1769" s="34" t="s">
        <v>9646</v>
      </c>
      <c r="I1769" s="44" t="s">
        <v>12903</v>
      </c>
      <c r="J1769" s="36" t="s">
        <v>1319</v>
      </c>
    </row>
    <row r="1770" spans="1:10" x14ac:dyDescent="0.25">
      <c r="A1770" s="31" t="s">
        <v>1320</v>
      </c>
      <c r="B1770" s="31">
        <v>49.010800000000003</v>
      </c>
      <c r="C1770" s="32" t="s">
        <v>12914</v>
      </c>
      <c r="D1770" s="31" t="s">
        <v>12902</v>
      </c>
      <c r="E1770" s="40" t="s">
        <v>12915</v>
      </c>
      <c r="F1770" s="38" t="s">
        <v>9150</v>
      </c>
      <c r="G1770" s="34" t="s">
        <v>9646</v>
      </c>
      <c r="I1770" s="44" t="s">
        <v>12903</v>
      </c>
      <c r="J1770" s="36" t="s">
        <v>1320</v>
      </c>
    </row>
    <row r="1771" spans="1:10" x14ac:dyDescent="0.25">
      <c r="A1771" s="31" t="s">
        <v>2098</v>
      </c>
      <c r="B1771" s="31">
        <v>49.010899999999999</v>
      </c>
      <c r="C1771" s="32" t="s">
        <v>12916</v>
      </c>
      <c r="D1771" s="31" t="s">
        <v>12902</v>
      </c>
      <c r="E1771" s="40" t="s">
        <v>12917</v>
      </c>
      <c r="F1771" s="38" t="s">
        <v>9150</v>
      </c>
      <c r="G1771" s="34" t="s">
        <v>9646</v>
      </c>
      <c r="I1771" s="44" t="s">
        <v>12903</v>
      </c>
      <c r="J1771" s="36" t="s">
        <v>2098</v>
      </c>
    </row>
    <row r="1772" spans="1:10" x14ac:dyDescent="0.25">
      <c r="A1772" s="31" t="s">
        <v>1321</v>
      </c>
      <c r="B1772" s="31">
        <v>49.0199</v>
      </c>
      <c r="C1772" s="32" t="s">
        <v>12918</v>
      </c>
      <c r="D1772" s="31" t="s">
        <v>12902</v>
      </c>
      <c r="E1772" s="40" t="s">
        <v>12919</v>
      </c>
      <c r="F1772" s="38" t="s">
        <v>9150</v>
      </c>
      <c r="G1772" s="34" t="s">
        <v>9646</v>
      </c>
      <c r="I1772" s="44" t="s">
        <v>12903</v>
      </c>
      <c r="J1772" s="36" t="s">
        <v>1321</v>
      </c>
    </row>
    <row r="1773" spans="1:10" x14ac:dyDescent="0.25">
      <c r="A1773" s="31" t="s">
        <v>1322</v>
      </c>
      <c r="B1773" s="31">
        <v>49.02</v>
      </c>
      <c r="C1773" s="32" t="s">
        <v>12920</v>
      </c>
      <c r="D1773" s="31" t="s">
        <v>12902</v>
      </c>
      <c r="E1773" s="40" t="s">
        <v>9647</v>
      </c>
      <c r="F1773" s="38" t="s">
        <v>9150</v>
      </c>
      <c r="G1773" s="34" t="s">
        <v>9647</v>
      </c>
      <c r="H1773" s="34" t="s">
        <v>9647</v>
      </c>
      <c r="I1773" s="35" t="s">
        <v>12920</v>
      </c>
      <c r="J1773" s="36" t="s">
        <v>1322</v>
      </c>
    </row>
    <row r="1774" spans="1:10" x14ac:dyDescent="0.25">
      <c r="A1774" s="31" t="s">
        <v>1323</v>
      </c>
      <c r="B1774" s="31">
        <v>49.020200000000003</v>
      </c>
      <c r="C1774" s="32" t="s">
        <v>12921</v>
      </c>
      <c r="D1774" s="31" t="s">
        <v>12902</v>
      </c>
      <c r="E1774" s="40" t="s">
        <v>12922</v>
      </c>
      <c r="F1774" s="38" t="s">
        <v>9150</v>
      </c>
      <c r="G1774" s="34" t="s">
        <v>9647</v>
      </c>
      <c r="I1774" s="35" t="s">
        <v>12920</v>
      </c>
      <c r="J1774" s="36" t="s">
        <v>1323</v>
      </c>
    </row>
    <row r="1775" spans="1:10" x14ac:dyDescent="0.25">
      <c r="A1775" s="31" t="s">
        <v>1324</v>
      </c>
      <c r="B1775" s="31">
        <v>49.020499999999998</v>
      </c>
      <c r="C1775" s="32" t="s">
        <v>12923</v>
      </c>
      <c r="D1775" s="31" t="s">
        <v>12902</v>
      </c>
      <c r="E1775" s="40" t="s">
        <v>12924</v>
      </c>
      <c r="F1775" s="38" t="s">
        <v>9150</v>
      </c>
      <c r="G1775" s="34" t="s">
        <v>9647</v>
      </c>
      <c r="I1775" s="35" t="s">
        <v>12920</v>
      </c>
      <c r="J1775" s="36" t="s">
        <v>1324</v>
      </c>
    </row>
    <row r="1776" spans="1:10" x14ac:dyDescent="0.25">
      <c r="A1776" s="31" t="s">
        <v>2099</v>
      </c>
      <c r="B1776" s="31">
        <v>49.020600000000002</v>
      </c>
      <c r="C1776" s="32" t="s">
        <v>12925</v>
      </c>
      <c r="D1776" s="31" t="s">
        <v>12902</v>
      </c>
      <c r="E1776" s="40" t="s">
        <v>12926</v>
      </c>
      <c r="F1776" s="38" t="s">
        <v>9150</v>
      </c>
      <c r="G1776" s="34" t="s">
        <v>9647</v>
      </c>
      <c r="I1776" s="35" t="s">
        <v>12920</v>
      </c>
      <c r="J1776" s="36" t="s">
        <v>2099</v>
      </c>
    </row>
    <row r="1777" spans="1:10" x14ac:dyDescent="0.25">
      <c r="A1777" s="31" t="s">
        <v>1325</v>
      </c>
      <c r="B1777" s="31">
        <v>49.020699999999998</v>
      </c>
      <c r="C1777" s="32" t="s">
        <v>12927</v>
      </c>
      <c r="D1777" s="31" t="s">
        <v>12902</v>
      </c>
      <c r="E1777" s="40" t="s">
        <v>12928</v>
      </c>
      <c r="F1777" s="38" t="s">
        <v>9150</v>
      </c>
      <c r="G1777" s="34" t="s">
        <v>9647</v>
      </c>
      <c r="I1777" s="35" t="s">
        <v>12920</v>
      </c>
      <c r="J1777" s="36" t="s">
        <v>1325</v>
      </c>
    </row>
    <row r="1778" spans="1:10" x14ac:dyDescent="0.25">
      <c r="A1778" s="31" t="s">
        <v>1326</v>
      </c>
      <c r="B1778" s="31">
        <v>49.020800000000001</v>
      </c>
      <c r="C1778" s="32" t="s">
        <v>12929</v>
      </c>
      <c r="D1778" s="31" t="s">
        <v>12902</v>
      </c>
      <c r="E1778" s="40" t="s">
        <v>12930</v>
      </c>
      <c r="F1778" s="38" t="s">
        <v>9150</v>
      </c>
      <c r="G1778" s="34" t="s">
        <v>9647</v>
      </c>
      <c r="I1778" s="35" t="s">
        <v>12920</v>
      </c>
      <c r="J1778" s="36" t="s">
        <v>1326</v>
      </c>
    </row>
    <row r="1779" spans="1:10" x14ac:dyDescent="0.25">
      <c r="A1779" s="31" t="s">
        <v>2100</v>
      </c>
      <c r="B1779" s="31">
        <v>49.020899999999997</v>
      </c>
      <c r="C1779" s="32" t="s">
        <v>12931</v>
      </c>
      <c r="D1779" s="31" t="s">
        <v>12902</v>
      </c>
      <c r="E1779" s="40" t="s">
        <v>12932</v>
      </c>
      <c r="F1779" s="38" t="s">
        <v>9150</v>
      </c>
      <c r="G1779" s="34" t="s">
        <v>9647</v>
      </c>
      <c r="I1779" s="35" t="s">
        <v>12920</v>
      </c>
      <c r="J1779" s="36" t="s">
        <v>2100</v>
      </c>
    </row>
    <row r="1780" spans="1:10" x14ac:dyDescent="0.25">
      <c r="A1780" s="31" t="s">
        <v>1327</v>
      </c>
      <c r="B1780" s="31">
        <v>49.029899999999998</v>
      </c>
      <c r="C1780" s="32" t="s">
        <v>12933</v>
      </c>
      <c r="D1780" s="31" t="s">
        <v>12902</v>
      </c>
      <c r="E1780" s="40" t="s">
        <v>12934</v>
      </c>
      <c r="F1780" s="38" t="s">
        <v>9150</v>
      </c>
      <c r="G1780" s="34" t="s">
        <v>9647</v>
      </c>
      <c r="I1780" s="35" t="s">
        <v>12920</v>
      </c>
      <c r="J1780" s="36" t="s">
        <v>1327</v>
      </c>
    </row>
    <row r="1781" spans="1:10" x14ac:dyDescent="0.25">
      <c r="A1781" s="31" t="s">
        <v>1328</v>
      </c>
      <c r="B1781" s="31">
        <v>49.03</v>
      </c>
      <c r="C1781" s="32" t="s">
        <v>12935</v>
      </c>
      <c r="D1781" s="31" t="s">
        <v>12902</v>
      </c>
      <c r="E1781" s="40" t="s">
        <v>9648</v>
      </c>
      <c r="F1781" s="38" t="s">
        <v>9150</v>
      </c>
      <c r="G1781" s="34" t="s">
        <v>9648</v>
      </c>
      <c r="H1781" s="34" t="s">
        <v>9648</v>
      </c>
      <c r="I1781" s="35" t="s">
        <v>12935</v>
      </c>
      <c r="J1781" s="36" t="s">
        <v>1328</v>
      </c>
    </row>
    <row r="1782" spans="1:10" x14ac:dyDescent="0.25">
      <c r="A1782" s="31" t="s">
        <v>1329</v>
      </c>
      <c r="B1782" s="31">
        <v>49.030299999999997</v>
      </c>
      <c r="C1782" s="32" t="s">
        <v>12936</v>
      </c>
      <c r="D1782" s="31" t="s">
        <v>12902</v>
      </c>
      <c r="E1782" s="40" t="s">
        <v>12937</v>
      </c>
      <c r="F1782" s="38" t="s">
        <v>9150</v>
      </c>
      <c r="G1782" s="34" t="s">
        <v>9648</v>
      </c>
      <c r="I1782" s="35" t="s">
        <v>12935</v>
      </c>
      <c r="J1782" s="36" t="s">
        <v>1329</v>
      </c>
    </row>
    <row r="1783" spans="1:10" x14ac:dyDescent="0.25">
      <c r="A1783" s="31" t="s">
        <v>1330</v>
      </c>
      <c r="B1783" s="31">
        <v>49.0304</v>
      </c>
      <c r="C1783" s="32" t="s">
        <v>12938</v>
      </c>
      <c r="D1783" s="31" t="s">
        <v>12902</v>
      </c>
      <c r="E1783" s="40" t="s">
        <v>12939</v>
      </c>
      <c r="F1783" s="38" t="s">
        <v>9150</v>
      </c>
      <c r="G1783" s="34" t="s">
        <v>9648</v>
      </c>
      <c r="I1783" s="35" t="s">
        <v>12935</v>
      </c>
      <c r="J1783" s="36" t="s">
        <v>1330</v>
      </c>
    </row>
    <row r="1784" spans="1:10" x14ac:dyDescent="0.25">
      <c r="A1784" s="31" t="s">
        <v>1331</v>
      </c>
      <c r="B1784" s="31">
        <v>49.030900000000003</v>
      </c>
      <c r="C1784" s="32" t="s">
        <v>12940</v>
      </c>
      <c r="D1784" s="31" t="s">
        <v>12902</v>
      </c>
      <c r="E1784" s="40" t="s">
        <v>12941</v>
      </c>
      <c r="F1784" s="38" t="s">
        <v>9150</v>
      </c>
      <c r="G1784" s="34" t="s">
        <v>9648</v>
      </c>
      <c r="I1784" s="35" t="s">
        <v>12935</v>
      </c>
      <c r="J1784" s="36" t="s">
        <v>1331</v>
      </c>
    </row>
    <row r="1785" spans="1:10" x14ac:dyDescent="0.25">
      <c r="A1785" s="31" t="s">
        <v>1332</v>
      </c>
      <c r="B1785" s="31">
        <v>49.039900000000003</v>
      </c>
      <c r="C1785" s="32" t="s">
        <v>12942</v>
      </c>
      <c r="D1785" s="31" t="s">
        <v>12902</v>
      </c>
      <c r="E1785" s="40" t="s">
        <v>12943</v>
      </c>
      <c r="F1785" s="38" t="s">
        <v>9150</v>
      </c>
      <c r="G1785" s="34" t="s">
        <v>9648</v>
      </c>
      <c r="I1785" s="35" t="s">
        <v>12935</v>
      </c>
      <c r="J1785" s="36" t="s">
        <v>1332</v>
      </c>
    </row>
    <row r="1786" spans="1:10" x14ac:dyDescent="0.25">
      <c r="A1786" s="31" t="s">
        <v>1333</v>
      </c>
      <c r="B1786" s="31">
        <v>49.99</v>
      </c>
      <c r="C1786" s="32" t="s">
        <v>12944</v>
      </c>
      <c r="D1786" s="31" t="s">
        <v>12902</v>
      </c>
      <c r="E1786" s="40" t="s">
        <v>9649</v>
      </c>
      <c r="F1786" s="38" t="s">
        <v>9150</v>
      </c>
      <c r="G1786" s="34" t="s">
        <v>9649</v>
      </c>
      <c r="H1786" s="34" t="s">
        <v>9649</v>
      </c>
      <c r="I1786" s="35" t="s">
        <v>12944</v>
      </c>
      <c r="J1786" s="36" t="s">
        <v>1333</v>
      </c>
    </row>
    <row r="1787" spans="1:10" x14ac:dyDescent="0.25">
      <c r="A1787" s="31" t="s">
        <v>1333</v>
      </c>
      <c r="B1787" s="31">
        <v>49.999899999999997</v>
      </c>
      <c r="C1787" s="32" t="s">
        <v>12945</v>
      </c>
      <c r="D1787" s="31" t="s">
        <v>12902</v>
      </c>
      <c r="E1787" s="40" t="s">
        <v>12946</v>
      </c>
      <c r="F1787" s="38" t="s">
        <v>9150</v>
      </c>
      <c r="G1787" s="34" t="s">
        <v>9649</v>
      </c>
      <c r="I1787" s="35" t="s">
        <v>12944</v>
      </c>
      <c r="J1787" s="36" t="s">
        <v>1333</v>
      </c>
    </row>
    <row r="1788" spans="1:10" x14ac:dyDescent="0.25">
      <c r="A1788" s="31" t="s">
        <v>1334</v>
      </c>
      <c r="B1788" s="31">
        <v>50</v>
      </c>
      <c r="C1788" s="32" t="s">
        <v>12947</v>
      </c>
      <c r="D1788" s="31" t="s">
        <v>12947</v>
      </c>
      <c r="E1788" s="40" t="s">
        <v>9650</v>
      </c>
      <c r="F1788" s="39" t="s">
        <v>9154</v>
      </c>
      <c r="G1788" s="34" t="s">
        <v>9650</v>
      </c>
      <c r="H1788" s="34" t="s">
        <v>9650</v>
      </c>
      <c r="I1788" s="45" t="s">
        <v>12947</v>
      </c>
      <c r="J1788" s="36" t="s">
        <v>1334</v>
      </c>
    </row>
    <row r="1789" spans="1:10" x14ac:dyDescent="0.25">
      <c r="A1789" s="31" t="s">
        <v>1335</v>
      </c>
      <c r="B1789" s="31">
        <v>50.01</v>
      </c>
      <c r="C1789" s="32" t="s">
        <v>12948</v>
      </c>
      <c r="D1789" s="31" t="s">
        <v>12947</v>
      </c>
      <c r="E1789" s="40" t="s">
        <v>9651</v>
      </c>
      <c r="F1789" s="39" t="s">
        <v>9154</v>
      </c>
      <c r="G1789" s="34" t="s">
        <v>9651</v>
      </c>
      <c r="H1789" s="34" t="s">
        <v>9651</v>
      </c>
      <c r="I1789" s="44" t="s">
        <v>12948</v>
      </c>
      <c r="J1789" s="36" t="s">
        <v>1335</v>
      </c>
    </row>
    <row r="1790" spans="1:10" x14ac:dyDescent="0.25">
      <c r="A1790" s="31" t="s">
        <v>1335</v>
      </c>
      <c r="B1790" s="31">
        <v>50.010100000000001</v>
      </c>
      <c r="C1790" s="32" t="s">
        <v>12949</v>
      </c>
      <c r="D1790" s="31" t="s">
        <v>12947</v>
      </c>
      <c r="E1790" s="40" t="s">
        <v>12950</v>
      </c>
      <c r="F1790" s="39" t="s">
        <v>9154</v>
      </c>
      <c r="G1790" s="34" t="s">
        <v>9651</v>
      </c>
      <c r="I1790" s="44" t="s">
        <v>12948</v>
      </c>
      <c r="J1790" s="36" t="s">
        <v>1335</v>
      </c>
    </row>
    <row r="1791" spans="1:10" x14ac:dyDescent="0.25">
      <c r="A1791" s="31" t="s">
        <v>1336</v>
      </c>
      <c r="B1791" s="31">
        <v>50.010199999999998</v>
      </c>
      <c r="C1791" s="32" t="s">
        <v>12951</v>
      </c>
      <c r="D1791" s="31" t="s">
        <v>12947</v>
      </c>
      <c r="E1791" s="40" t="s">
        <v>12952</v>
      </c>
      <c r="F1791" s="39" t="s">
        <v>9154</v>
      </c>
      <c r="G1791" s="34" t="s">
        <v>9651</v>
      </c>
      <c r="I1791" s="44" t="s">
        <v>12948</v>
      </c>
      <c r="J1791" s="36" t="s">
        <v>1336</v>
      </c>
    </row>
    <row r="1792" spans="1:10" x14ac:dyDescent="0.25">
      <c r="A1792" s="31" t="s">
        <v>1337</v>
      </c>
      <c r="B1792" s="31">
        <v>50.02</v>
      </c>
      <c r="C1792" s="32" t="s">
        <v>12953</v>
      </c>
      <c r="D1792" s="31" t="s">
        <v>12947</v>
      </c>
      <c r="E1792" s="40" t="s">
        <v>9652</v>
      </c>
      <c r="F1792" s="39" t="s">
        <v>9154</v>
      </c>
      <c r="G1792" s="34" t="s">
        <v>9652</v>
      </c>
      <c r="H1792" s="34" t="s">
        <v>9652</v>
      </c>
      <c r="I1792" s="44" t="s">
        <v>12953</v>
      </c>
      <c r="J1792" s="36" t="s">
        <v>1337</v>
      </c>
    </row>
    <row r="1793" spans="1:10" x14ac:dyDescent="0.25">
      <c r="A1793" s="31" t="s">
        <v>1337</v>
      </c>
      <c r="B1793" s="31">
        <v>50.020099999999999</v>
      </c>
      <c r="C1793" s="32" t="s">
        <v>12954</v>
      </c>
      <c r="D1793" s="31" t="s">
        <v>12947</v>
      </c>
      <c r="E1793" s="40" t="s">
        <v>12955</v>
      </c>
      <c r="F1793" s="39" t="s">
        <v>9154</v>
      </c>
      <c r="G1793" s="34" t="s">
        <v>9652</v>
      </c>
      <c r="I1793" s="44" t="s">
        <v>12953</v>
      </c>
      <c r="J1793" s="36" t="s">
        <v>1337</v>
      </c>
    </row>
    <row r="1794" spans="1:10" x14ac:dyDescent="0.25">
      <c r="A1794" s="31" t="s">
        <v>1338</v>
      </c>
      <c r="B1794" s="31">
        <v>50.03</v>
      </c>
      <c r="C1794" s="32" t="s">
        <v>12956</v>
      </c>
      <c r="D1794" s="31" t="s">
        <v>12947</v>
      </c>
      <c r="E1794" s="40" t="s">
        <v>9653</v>
      </c>
      <c r="F1794" s="39" t="s">
        <v>9154</v>
      </c>
      <c r="G1794" s="34" t="s">
        <v>9653</v>
      </c>
      <c r="H1794" s="34" t="s">
        <v>9653</v>
      </c>
      <c r="I1794" s="44" t="s">
        <v>12956</v>
      </c>
      <c r="J1794" s="36" t="s">
        <v>1338</v>
      </c>
    </row>
    <row r="1795" spans="1:10" x14ac:dyDescent="0.25">
      <c r="A1795" s="31" t="s">
        <v>1339</v>
      </c>
      <c r="B1795" s="31">
        <v>50.030099999999997</v>
      </c>
      <c r="C1795" s="32" t="s">
        <v>12957</v>
      </c>
      <c r="D1795" s="31" t="s">
        <v>12947</v>
      </c>
      <c r="E1795" s="40" t="s">
        <v>12958</v>
      </c>
      <c r="F1795" s="39" t="s">
        <v>9154</v>
      </c>
      <c r="G1795" s="34" t="s">
        <v>9653</v>
      </c>
      <c r="I1795" s="44" t="s">
        <v>12956</v>
      </c>
      <c r="J1795" s="36" t="s">
        <v>1339</v>
      </c>
    </row>
    <row r="1796" spans="1:10" x14ac:dyDescent="0.25">
      <c r="A1796" s="31" t="s">
        <v>1340</v>
      </c>
      <c r="B1796" s="31">
        <v>50.030200000000001</v>
      </c>
      <c r="C1796" s="32" t="s">
        <v>12959</v>
      </c>
      <c r="D1796" s="31" t="s">
        <v>12947</v>
      </c>
      <c r="E1796" s="40" t="s">
        <v>12960</v>
      </c>
      <c r="F1796" s="39" t="s">
        <v>9154</v>
      </c>
      <c r="G1796" s="34" t="s">
        <v>9653</v>
      </c>
      <c r="I1796" s="44" t="s">
        <v>12956</v>
      </c>
      <c r="J1796" s="36" t="s">
        <v>1340</v>
      </c>
    </row>
    <row r="1797" spans="1:10" x14ac:dyDescent="0.25">
      <c r="A1797" s="31" t="s">
        <v>1341</v>
      </c>
      <c r="B1797" s="31">
        <v>50.039900000000003</v>
      </c>
      <c r="C1797" s="32" t="s">
        <v>12961</v>
      </c>
      <c r="D1797" s="31" t="s">
        <v>12947</v>
      </c>
      <c r="E1797" s="40" t="s">
        <v>12962</v>
      </c>
      <c r="F1797" s="39" t="s">
        <v>9154</v>
      </c>
      <c r="G1797" s="34" t="s">
        <v>9653</v>
      </c>
      <c r="I1797" s="44" t="s">
        <v>12956</v>
      </c>
      <c r="J1797" s="36" t="s">
        <v>1341</v>
      </c>
    </row>
    <row r="1798" spans="1:10" x14ac:dyDescent="0.25">
      <c r="A1798" s="31" t="s">
        <v>1342</v>
      </c>
      <c r="B1798" s="31">
        <v>50.04</v>
      </c>
      <c r="C1798" s="32" t="s">
        <v>12963</v>
      </c>
      <c r="D1798" s="31" t="s">
        <v>12947</v>
      </c>
      <c r="E1798" s="40" t="s">
        <v>9654</v>
      </c>
      <c r="F1798" s="39" t="s">
        <v>9154</v>
      </c>
      <c r="G1798" s="34" t="s">
        <v>9654</v>
      </c>
      <c r="H1798" s="34" t="s">
        <v>9654</v>
      </c>
      <c r="I1798" s="44" t="s">
        <v>12963</v>
      </c>
      <c r="J1798" s="36" t="s">
        <v>1342</v>
      </c>
    </row>
    <row r="1799" spans="1:10" x14ac:dyDescent="0.25">
      <c r="A1799" s="31" t="s">
        <v>1343</v>
      </c>
      <c r="B1799" s="31">
        <v>50.040100000000002</v>
      </c>
      <c r="C1799" s="32" t="s">
        <v>12964</v>
      </c>
      <c r="D1799" s="31" t="s">
        <v>12947</v>
      </c>
      <c r="E1799" s="40" t="s">
        <v>12965</v>
      </c>
      <c r="F1799" s="39" t="s">
        <v>9154</v>
      </c>
      <c r="G1799" s="34" t="s">
        <v>9654</v>
      </c>
      <c r="I1799" s="44" t="s">
        <v>12963</v>
      </c>
      <c r="J1799" s="36" t="s">
        <v>1343</v>
      </c>
    </row>
    <row r="1800" spans="1:10" x14ac:dyDescent="0.25">
      <c r="A1800" s="31" t="s">
        <v>1344</v>
      </c>
      <c r="B1800" s="31">
        <v>50.040199999999999</v>
      </c>
      <c r="C1800" s="32" t="s">
        <v>12966</v>
      </c>
      <c r="D1800" s="31" t="s">
        <v>12947</v>
      </c>
      <c r="E1800" s="40" t="s">
        <v>12967</v>
      </c>
      <c r="F1800" s="39" t="s">
        <v>9154</v>
      </c>
      <c r="G1800" s="34" t="s">
        <v>9654</v>
      </c>
      <c r="I1800" s="44" t="s">
        <v>12963</v>
      </c>
      <c r="J1800" s="36" t="s">
        <v>1344</v>
      </c>
    </row>
    <row r="1801" spans="1:10" x14ac:dyDescent="0.25">
      <c r="A1801" s="31" t="s">
        <v>1345</v>
      </c>
      <c r="B1801" s="31">
        <v>50.040399999999998</v>
      </c>
      <c r="C1801" s="32" t="s">
        <v>12968</v>
      </c>
      <c r="D1801" s="31" t="s">
        <v>12947</v>
      </c>
      <c r="E1801" s="40" t="s">
        <v>12969</v>
      </c>
      <c r="F1801" s="39" t="s">
        <v>9154</v>
      </c>
      <c r="G1801" s="34" t="s">
        <v>9654</v>
      </c>
      <c r="I1801" s="44" t="s">
        <v>12963</v>
      </c>
      <c r="J1801" s="36" t="s">
        <v>1345</v>
      </c>
    </row>
    <row r="1802" spans="1:10" x14ac:dyDescent="0.25">
      <c r="A1802" s="31" t="s">
        <v>1346</v>
      </c>
      <c r="B1802" s="31">
        <v>50.040599999999998</v>
      </c>
      <c r="C1802" s="32" t="s">
        <v>12970</v>
      </c>
      <c r="D1802" s="31" t="s">
        <v>12947</v>
      </c>
      <c r="E1802" s="40" t="s">
        <v>12971</v>
      </c>
      <c r="F1802" s="39" t="s">
        <v>9154</v>
      </c>
      <c r="G1802" s="34" t="s">
        <v>9654</v>
      </c>
      <c r="I1802" s="44" t="s">
        <v>12963</v>
      </c>
      <c r="J1802" s="36" t="s">
        <v>1346</v>
      </c>
    </row>
    <row r="1803" spans="1:10" x14ac:dyDescent="0.25">
      <c r="A1803" s="31" t="s">
        <v>1347</v>
      </c>
      <c r="B1803" s="31">
        <v>50.040700000000001</v>
      </c>
      <c r="C1803" s="32" t="s">
        <v>12972</v>
      </c>
      <c r="D1803" s="31" t="s">
        <v>12947</v>
      </c>
      <c r="E1803" s="40" t="s">
        <v>12973</v>
      </c>
      <c r="F1803" s="39" t="s">
        <v>9154</v>
      </c>
      <c r="G1803" s="34" t="s">
        <v>9654</v>
      </c>
      <c r="I1803" s="44" t="s">
        <v>12963</v>
      </c>
      <c r="J1803" s="36" t="s">
        <v>1347</v>
      </c>
    </row>
    <row r="1804" spans="1:10" x14ac:dyDescent="0.25">
      <c r="A1804" s="31" t="s">
        <v>1348</v>
      </c>
      <c r="B1804" s="31">
        <v>50.040799999999997</v>
      </c>
      <c r="C1804" s="32" t="s">
        <v>12974</v>
      </c>
      <c r="D1804" s="31" t="s">
        <v>12947</v>
      </c>
      <c r="E1804" s="40" t="s">
        <v>12975</v>
      </c>
      <c r="F1804" s="39" t="s">
        <v>9154</v>
      </c>
      <c r="G1804" s="34" t="s">
        <v>9654</v>
      </c>
      <c r="I1804" s="44" t="s">
        <v>12963</v>
      </c>
      <c r="J1804" s="36" t="s">
        <v>1348</v>
      </c>
    </row>
    <row r="1805" spans="1:10" x14ac:dyDescent="0.25">
      <c r="A1805" s="31" t="s">
        <v>1349</v>
      </c>
      <c r="B1805" s="31">
        <v>50.040900000000001</v>
      </c>
      <c r="C1805" s="32" t="s">
        <v>12976</v>
      </c>
      <c r="D1805" s="31" t="s">
        <v>12947</v>
      </c>
      <c r="E1805" s="40" t="s">
        <v>12977</v>
      </c>
      <c r="F1805" s="39" t="s">
        <v>9154</v>
      </c>
      <c r="G1805" s="34" t="s">
        <v>9654</v>
      </c>
      <c r="I1805" s="44" t="s">
        <v>12963</v>
      </c>
      <c r="J1805" s="36" t="s">
        <v>1349</v>
      </c>
    </row>
    <row r="1806" spans="1:10" x14ac:dyDescent="0.25">
      <c r="A1806" s="31" t="s">
        <v>1350</v>
      </c>
      <c r="B1806" s="31">
        <v>50.040999999999997</v>
      </c>
      <c r="C1806" s="32" t="s">
        <v>12978</v>
      </c>
      <c r="D1806" s="31" t="s">
        <v>12947</v>
      </c>
      <c r="E1806" s="40" t="s">
        <v>12979</v>
      </c>
      <c r="F1806" s="39" t="s">
        <v>9154</v>
      </c>
      <c r="G1806" s="34" t="s">
        <v>9654</v>
      </c>
      <c r="I1806" s="44" t="s">
        <v>12963</v>
      </c>
      <c r="J1806" s="36" t="s">
        <v>1350</v>
      </c>
    </row>
    <row r="1807" spans="1:10" x14ac:dyDescent="0.25">
      <c r="A1807" s="31" t="s">
        <v>1351</v>
      </c>
      <c r="B1807" s="31">
        <v>50.0411</v>
      </c>
      <c r="C1807" s="32" t="s">
        <v>12980</v>
      </c>
      <c r="D1807" s="31" t="s">
        <v>12947</v>
      </c>
      <c r="E1807" s="40" t="s">
        <v>12981</v>
      </c>
      <c r="F1807" s="39" t="s">
        <v>9154</v>
      </c>
      <c r="G1807" s="34" t="s">
        <v>9654</v>
      </c>
      <c r="I1807" s="44" t="s">
        <v>12963</v>
      </c>
      <c r="J1807" s="36" t="s">
        <v>1351</v>
      </c>
    </row>
    <row r="1808" spans="1:10" x14ac:dyDescent="0.25">
      <c r="A1808" s="31" t="s">
        <v>1352</v>
      </c>
      <c r="B1808" s="31">
        <v>50.049900000000001</v>
      </c>
      <c r="C1808" s="32" t="s">
        <v>12982</v>
      </c>
      <c r="D1808" s="31" t="s">
        <v>12947</v>
      </c>
      <c r="E1808" s="40" t="s">
        <v>12983</v>
      </c>
      <c r="F1808" s="39" t="s">
        <v>9154</v>
      </c>
      <c r="G1808" s="34" t="s">
        <v>9654</v>
      </c>
      <c r="I1808" s="44" t="s">
        <v>12963</v>
      </c>
      <c r="J1808" s="36" t="s">
        <v>1352</v>
      </c>
    </row>
    <row r="1809" spans="1:10" x14ac:dyDescent="0.25">
      <c r="A1809" s="31" t="s">
        <v>1353</v>
      </c>
      <c r="B1809" s="31">
        <v>50.05</v>
      </c>
      <c r="C1809" s="32" t="s">
        <v>12984</v>
      </c>
      <c r="D1809" s="31" t="s">
        <v>12947</v>
      </c>
      <c r="E1809" s="40" t="s">
        <v>9655</v>
      </c>
      <c r="F1809" s="39" t="s">
        <v>9154</v>
      </c>
      <c r="G1809" s="34" t="s">
        <v>9655</v>
      </c>
      <c r="H1809" s="34" t="s">
        <v>9655</v>
      </c>
      <c r="I1809" s="44" t="s">
        <v>12984</v>
      </c>
      <c r="J1809" s="36" t="s">
        <v>1353</v>
      </c>
    </row>
    <row r="1810" spans="1:10" x14ac:dyDescent="0.25">
      <c r="A1810" s="31" t="s">
        <v>1354</v>
      </c>
      <c r="B1810" s="31">
        <v>50.0501</v>
      </c>
      <c r="C1810" s="32" t="s">
        <v>12985</v>
      </c>
      <c r="D1810" s="31" t="s">
        <v>12947</v>
      </c>
      <c r="E1810" s="40" t="s">
        <v>12986</v>
      </c>
      <c r="F1810" s="39" t="s">
        <v>9154</v>
      </c>
      <c r="G1810" s="34" t="s">
        <v>9655</v>
      </c>
      <c r="I1810" s="44" t="s">
        <v>12984</v>
      </c>
      <c r="J1810" s="36" t="s">
        <v>1354</v>
      </c>
    </row>
    <row r="1811" spans="1:10" x14ac:dyDescent="0.25">
      <c r="A1811" s="31" t="s">
        <v>1355</v>
      </c>
      <c r="B1811" s="31">
        <v>50.050199999999997</v>
      </c>
      <c r="C1811" s="32" t="s">
        <v>12987</v>
      </c>
      <c r="D1811" s="31" t="s">
        <v>12947</v>
      </c>
      <c r="E1811" s="40" t="s">
        <v>12988</v>
      </c>
      <c r="F1811" s="39" t="s">
        <v>9154</v>
      </c>
      <c r="G1811" s="34" t="s">
        <v>9655</v>
      </c>
      <c r="I1811" s="44" t="s">
        <v>12984</v>
      </c>
      <c r="J1811" s="36" t="s">
        <v>1355</v>
      </c>
    </row>
    <row r="1812" spans="1:10" x14ac:dyDescent="0.25">
      <c r="A1812" s="31" t="s">
        <v>1356</v>
      </c>
      <c r="B1812" s="31">
        <v>50.050400000000003</v>
      </c>
      <c r="C1812" s="32" t="s">
        <v>12989</v>
      </c>
      <c r="D1812" s="31" t="s">
        <v>12947</v>
      </c>
      <c r="E1812" s="40" t="s">
        <v>12990</v>
      </c>
      <c r="F1812" s="39" t="s">
        <v>9154</v>
      </c>
      <c r="G1812" s="34" t="s">
        <v>9655</v>
      </c>
      <c r="I1812" s="44" t="s">
        <v>12984</v>
      </c>
      <c r="J1812" s="36" t="s">
        <v>1356</v>
      </c>
    </row>
    <row r="1813" spans="1:10" x14ac:dyDescent="0.25">
      <c r="A1813" s="31" t="s">
        <v>1357</v>
      </c>
      <c r="B1813" s="31">
        <v>50.0505</v>
      </c>
      <c r="C1813" s="32" t="s">
        <v>12991</v>
      </c>
      <c r="D1813" s="31" t="s">
        <v>12947</v>
      </c>
      <c r="E1813" s="40" t="s">
        <v>12992</v>
      </c>
      <c r="F1813" s="39" t="s">
        <v>9154</v>
      </c>
      <c r="G1813" s="34" t="s">
        <v>9655</v>
      </c>
      <c r="I1813" s="44" t="s">
        <v>12984</v>
      </c>
      <c r="J1813" s="36" t="s">
        <v>1357</v>
      </c>
    </row>
    <row r="1814" spans="1:10" x14ac:dyDescent="0.25">
      <c r="A1814" s="31" t="s">
        <v>1358</v>
      </c>
      <c r="B1814" s="31">
        <v>50.050600000000003</v>
      </c>
      <c r="C1814" s="32" t="s">
        <v>12993</v>
      </c>
      <c r="D1814" s="31" t="s">
        <v>12947</v>
      </c>
      <c r="E1814" s="40" t="s">
        <v>12994</v>
      </c>
      <c r="F1814" s="39" t="s">
        <v>9154</v>
      </c>
      <c r="G1814" s="34" t="s">
        <v>9655</v>
      </c>
      <c r="I1814" s="44" t="s">
        <v>12984</v>
      </c>
      <c r="J1814" s="36" t="s">
        <v>1358</v>
      </c>
    </row>
    <row r="1815" spans="1:10" x14ac:dyDescent="0.25">
      <c r="A1815" s="31" t="s">
        <v>1359</v>
      </c>
      <c r="B1815" s="31">
        <v>50.050699999999999</v>
      </c>
      <c r="C1815" s="32" t="s">
        <v>12995</v>
      </c>
      <c r="D1815" s="31" t="s">
        <v>12947</v>
      </c>
      <c r="E1815" s="40" t="s">
        <v>12996</v>
      </c>
      <c r="F1815" s="39" t="s">
        <v>9154</v>
      </c>
      <c r="G1815" s="34" t="s">
        <v>9655</v>
      </c>
      <c r="I1815" s="44" t="s">
        <v>12984</v>
      </c>
      <c r="J1815" s="36" t="s">
        <v>1359</v>
      </c>
    </row>
    <row r="1816" spans="1:10" x14ac:dyDescent="0.25">
      <c r="A1816" s="31" t="s">
        <v>1361</v>
      </c>
      <c r="B1816" s="31">
        <v>50.050899999999999</v>
      </c>
      <c r="C1816" s="32" t="s">
        <v>12997</v>
      </c>
      <c r="D1816" s="31" t="s">
        <v>12947</v>
      </c>
      <c r="E1816" s="40" t="s">
        <v>12998</v>
      </c>
      <c r="F1816" s="39" t="s">
        <v>9154</v>
      </c>
      <c r="G1816" s="34" t="s">
        <v>9655</v>
      </c>
      <c r="I1816" s="44" t="s">
        <v>12984</v>
      </c>
      <c r="J1816" s="36" t="s">
        <v>1361</v>
      </c>
    </row>
    <row r="1817" spans="1:10" x14ac:dyDescent="0.25">
      <c r="A1817" s="31" t="s">
        <v>1362</v>
      </c>
      <c r="B1817" s="31">
        <v>50.051000000000002</v>
      </c>
      <c r="C1817" s="32" t="s">
        <v>12999</v>
      </c>
      <c r="D1817" s="31" t="s">
        <v>12947</v>
      </c>
      <c r="E1817" s="40" t="s">
        <v>13000</v>
      </c>
      <c r="F1817" s="39" t="s">
        <v>9154</v>
      </c>
      <c r="G1817" s="34" t="s">
        <v>9655</v>
      </c>
      <c r="I1817" s="44" t="s">
        <v>12984</v>
      </c>
      <c r="J1817" s="36" t="s">
        <v>1362</v>
      </c>
    </row>
    <row r="1818" spans="1:10" x14ac:dyDescent="0.25">
      <c r="A1818" s="31" t="s">
        <v>2101</v>
      </c>
      <c r="B1818" s="31">
        <v>50.051099999999998</v>
      </c>
      <c r="C1818" s="32" t="s">
        <v>13001</v>
      </c>
      <c r="D1818" s="31" t="s">
        <v>12947</v>
      </c>
      <c r="E1818" s="40" t="s">
        <v>13002</v>
      </c>
      <c r="F1818" s="39" t="s">
        <v>9154</v>
      </c>
      <c r="G1818" s="34" t="s">
        <v>9655</v>
      </c>
      <c r="I1818" s="44" t="s">
        <v>12984</v>
      </c>
      <c r="J1818" s="36" t="s">
        <v>2101</v>
      </c>
    </row>
    <row r="1819" spans="1:10" x14ac:dyDescent="0.25">
      <c r="A1819" s="31" t="s">
        <v>2102</v>
      </c>
      <c r="B1819" s="31">
        <v>50.051200000000001</v>
      </c>
      <c r="C1819" s="32" t="s">
        <v>13003</v>
      </c>
      <c r="D1819" s="31" t="s">
        <v>12947</v>
      </c>
      <c r="E1819" s="40" t="s">
        <v>13004</v>
      </c>
      <c r="F1819" s="39" t="s">
        <v>9154</v>
      </c>
      <c r="G1819" s="34" t="s">
        <v>9655</v>
      </c>
      <c r="I1819" s="44" t="s">
        <v>12984</v>
      </c>
      <c r="J1819" s="36" t="s">
        <v>2102</v>
      </c>
    </row>
    <row r="1820" spans="1:10" x14ac:dyDescent="0.25">
      <c r="A1820" s="31" t="s">
        <v>1363</v>
      </c>
      <c r="B1820" s="31">
        <v>50.059899999999999</v>
      </c>
      <c r="C1820" s="32" t="s">
        <v>13005</v>
      </c>
      <c r="D1820" s="31" t="s">
        <v>12947</v>
      </c>
      <c r="E1820" s="40" t="s">
        <v>13006</v>
      </c>
      <c r="F1820" s="39" t="s">
        <v>9154</v>
      </c>
      <c r="G1820" s="34" t="s">
        <v>9655</v>
      </c>
      <c r="I1820" s="44" t="s">
        <v>12984</v>
      </c>
      <c r="J1820" s="36" t="s">
        <v>1363</v>
      </c>
    </row>
    <row r="1821" spans="1:10" x14ac:dyDescent="0.25">
      <c r="A1821" s="31" t="s">
        <v>1364</v>
      </c>
      <c r="B1821" s="31">
        <v>50.06</v>
      </c>
      <c r="C1821" s="32" t="s">
        <v>13007</v>
      </c>
      <c r="D1821" s="31" t="s">
        <v>12947</v>
      </c>
      <c r="E1821" s="40" t="s">
        <v>9656</v>
      </c>
      <c r="F1821" s="39" t="s">
        <v>9154</v>
      </c>
      <c r="G1821" s="34" t="s">
        <v>9656</v>
      </c>
      <c r="H1821" s="34" t="s">
        <v>9656</v>
      </c>
      <c r="I1821" s="44" t="s">
        <v>13007</v>
      </c>
      <c r="J1821" s="36" t="s">
        <v>1364</v>
      </c>
    </row>
    <row r="1822" spans="1:10" x14ac:dyDescent="0.25">
      <c r="A1822" s="31" t="s">
        <v>2103</v>
      </c>
      <c r="B1822" s="31">
        <v>50.060099999999998</v>
      </c>
      <c r="C1822" s="32" t="s">
        <v>13008</v>
      </c>
      <c r="D1822" s="31" t="s">
        <v>12947</v>
      </c>
      <c r="E1822" s="40" t="s">
        <v>13009</v>
      </c>
      <c r="F1822" s="39" t="s">
        <v>9154</v>
      </c>
      <c r="G1822" s="34" t="s">
        <v>9656</v>
      </c>
      <c r="I1822" s="44" t="s">
        <v>13007</v>
      </c>
      <c r="J1822" s="36" t="s">
        <v>2103</v>
      </c>
    </row>
    <row r="1823" spans="1:10" x14ac:dyDescent="0.25">
      <c r="A1823" s="31" t="s">
        <v>1365</v>
      </c>
      <c r="B1823" s="31">
        <v>50.060200000000002</v>
      </c>
      <c r="C1823" s="32" t="s">
        <v>13010</v>
      </c>
      <c r="D1823" s="31" t="s">
        <v>12947</v>
      </c>
      <c r="E1823" s="40" t="s">
        <v>13011</v>
      </c>
      <c r="F1823" s="39" t="s">
        <v>9154</v>
      </c>
      <c r="G1823" s="34" t="s">
        <v>9656</v>
      </c>
      <c r="I1823" s="44" t="s">
        <v>13007</v>
      </c>
      <c r="J1823" s="36" t="s">
        <v>1365</v>
      </c>
    </row>
    <row r="1824" spans="1:10" x14ac:dyDescent="0.25">
      <c r="A1824" s="31" t="s">
        <v>1366</v>
      </c>
      <c r="B1824" s="31">
        <v>50.060499999999998</v>
      </c>
      <c r="C1824" s="32" t="s">
        <v>13012</v>
      </c>
      <c r="D1824" s="31" t="s">
        <v>12947</v>
      </c>
      <c r="E1824" s="40" t="s">
        <v>13013</v>
      </c>
      <c r="F1824" s="39" t="s">
        <v>9154</v>
      </c>
      <c r="G1824" s="34" t="s">
        <v>9656</v>
      </c>
      <c r="I1824" s="44" t="s">
        <v>13007</v>
      </c>
      <c r="J1824" s="36" t="s">
        <v>1366</v>
      </c>
    </row>
    <row r="1825" spans="1:10" x14ac:dyDescent="0.25">
      <c r="A1825" s="31" t="s">
        <v>1367</v>
      </c>
      <c r="B1825" s="31">
        <v>50.060699999999997</v>
      </c>
      <c r="C1825" s="32" t="s">
        <v>13014</v>
      </c>
      <c r="D1825" s="31" t="s">
        <v>12947</v>
      </c>
      <c r="E1825" s="40" t="s">
        <v>13015</v>
      </c>
      <c r="F1825" s="39" t="s">
        <v>9154</v>
      </c>
      <c r="G1825" s="34" t="s">
        <v>9656</v>
      </c>
      <c r="I1825" s="44" t="s">
        <v>13007</v>
      </c>
      <c r="J1825" s="36" t="s">
        <v>1367</v>
      </c>
    </row>
    <row r="1826" spans="1:10" x14ac:dyDescent="0.25">
      <c r="A1826" s="31" t="s">
        <v>1368</v>
      </c>
      <c r="B1826" s="31">
        <v>50.069899999999997</v>
      </c>
      <c r="C1826" s="32" t="s">
        <v>13016</v>
      </c>
      <c r="D1826" s="31" t="s">
        <v>12947</v>
      </c>
      <c r="E1826" s="40" t="s">
        <v>13017</v>
      </c>
      <c r="F1826" s="39" t="s">
        <v>9154</v>
      </c>
      <c r="G1826" s="34" t="s">
        <v>9656</v>
      </c>
      <c r="I1826" s="44" t="s">
        <v>13007</v>
      </c>
      <c r="J1826" s="36" t="s">
        <v>1368</v>
      </c>
    </row>
    <row r="1827" spans="1:10" x14ac:dyDescent="0.25">
      <c r="A1827" s="31" t="s">
        <v>1369</v>
      </c>
      <c r="B1827" s="31">
        <v>50.07</v>
      </c>
      <c r="C1827" s="32" t="s">
        <v>13018</v>
      </c>
      <c r="D1827" s="31" t="s">
        <v>12947</v>
      </c>
      <c r="E1827" s="40" t="s">
        <v>9657</v>
      </c>
      <c r="F1827" s="39" t="s">
        <v>9154</v>
      </c>
      <c r="G1827" s="34" t="s">
        <v>9657</v>
      </c>
      <c r="H1827" s="34" t="s">
        <v>9657</v>
      </c>
      <c r="I1827" s="44" t="s">
        <v>13018</v>
      </c>
      <c r="J1827" s="36" t="s">
        <v>1369</v>
      </c>
    </row>
    <row r="1828" spans="1:10" x14ac:dyDescent="0.25">
      <c r="A1828" s="31" t="s">
        <v>1370</v>
      </c>
      <c r="B1828" s="31">
        <v>50.070099999999996</v>
      </c>
      <c r="C1828" s="32" t="s">
        <v>13019</v>
      </c>
      <c r="D1828" s="31" t="s">
        <v>12947</v>
      </c>
      <c r="E1828" s="40" t="s">
        <v>13020</v>
      </c>
      <c r="F1828" s="39" t="s">
        <v>9154</v>
      </c>
      <c r="G1828" s="34" t="s">
        <v>9657</v>
      </c>
      <c r="I1828" s="44" t="s">
        <v>13018</v>
      </c>
      <c r="J1828" s="36" t="s">
        <v>1370</v>
      </c>
    </row>
    <row r="1829" spans="1:10" x14ac:dyDescent="0.25">
      <c r="A1829" s="31" t="s">
        <v>1371</v>
      </c>
      <c r="B1829" s="31">
        <v>50.0702</v>
      </c>
      <c r="C1829" s="32" t="s">
        <v>13021</v>
      </c>
      <c r="D1829" s="31" t="s">
        <v>12947</v>
      </c>
      <c r="E1829" s="40" t="s">
        <v>13022</v>
      </c>
      <c r="F1829" s="39" t="s">
        <v>9154</v>
      </c>
      <c r="G1829" s="34" t="s">
        <v>9657</v>
      </c>
      <c r="I1829" s="44" t="s">
        <v>13018</v>
      </c>
      <c r="J1829" s="36" t="s">
        <v>1371</v>
      </c>
    </row>
    <row r="1830" spans="1:10" x14ac:dyDescent="0.25">
      <c r="A1830" s="31" t="s">
        <v>1372</v>
      </c>
      <c r="B1830" s="31">
        <v>50.070300000000003</v>
      </c>
      <c r="C1830" s="32" t="s">
        <v>13023</v>
      </c>
      <c r="D1830" s="31" t="s">
        <v>12947</v>
      </c>
      <c r="E1830" s="40" t="s">
        <v>13024</v>
      </c>
      <c r="F1830" s="39" t="s">
        <v>9154</v>
      </c>
      <c r="G1830" s="34" t="s">
        <v>9657</v>
      </c>
      <c r="I1830" s="44" t="s">
        <v>13018</v>
      </c>
      <c r="J1830" s="36" t="s">
        <v>1372</v>
      </c>
    </row>
    <row r="1831" spans="1:10" x14ac:dyDescent="0.25">
      <c r="A1831" s="31" t="s">
        <v>1373</v>
      </c>
      <c r="B1831" s="31">
        <v>50.070500000000003</v>
      </c>
      <c r="C1831" s="32" t="s">
        <v>13025</v>
      </c>
      <c r="D1831" s="31" t="s">
        <v>12947</v>
      </c>
      <c r="E1831" s="40" t="s">
        <v>13026</v>
      </c>
      <c r="F1831" s="39" t="s">
        <v>9154</v>
      </c>
      <c r="G1831" s="34" t="s">
        <v>9657</v>
      </c>
      <c r="I1831" s="44" t="s">
        <v>13018</v>
      </c>
      <c r="J1831" s="36" t="s">
        <v>1373</v>
      </c>
    </row>
    <row r="1832" spans="1:10" x14ac:dyDescent="0.25">
      <c r="A1832" s="31" t="s">
        <v>1374</v>
      </c>
      <c r="B1832" s="31">
        <v>50.070599999999999</v>
      </c>
      <c r="C1832" s="32" t="s">
        <v>13027</v>
      </c>
      <c r="D1832" s="31" t="s">
        <v>12947</v>
      </c>
      <c r="E1832" s="40" t="s">
        <v>13028</v>
      </c>
      <c r="F1832" s="39" t="s">
        <v>9154</v>
      </c>
      <c r="G1832" s="34" t="s">
        <v>9657</v>
      </c>
      <c r="I1832" s="44" t="s">
        <v>13018</v>
      </c>
      <c r="J1832" s="36" t="s">
        <v>1374</v>
      </c>
    </row>
    <row r="1833" spans="1:10" x14ac:dyDescent="0.25">
      <c r="A1833" s="31" t="s">
        <v>1375</v>
      </c>
      <c r="B1833" s="31">
        <v>50.070799999999998</v>
      </c>
      <c r="C1833" s="32" t="s">
        <v>13029</v>
      </c>
      <c r="D1833" s="31" t="s">
        <v>12947</v>
      </c>
      <c r="E1833" s="40" t="s">
        <v>13030</v>
      </c>
      <c r="F1833" s="39" t="s">
        <v>9154</v>
      </c>
      <c r="G1833" s="34" t="s">
        <v>9657</v>
      </c>
      <c r="I1833" s="44" t="s">
        <v>13018</v>
      </c>
      <c r="J1833" s="36" t="s">
        <v>1375</v>
      </c>
    </row>
    <row r="1834" spans="1:10" x14ac:dyDescent="0.25">
      <c r="A1834" s="31" t="s">
        <v>1376</v>
      </c>
      <c r="B1834" s="31">
        <v>50.070900000000002</v>
      </c>
      <c r="C1834" s="32" t="s">
        <v>13031</v>
      </c>
      <c r="D1834" s="31" t="s">
        <v>12947</v>
      </c>
      <c r="E1834" s="40" t="s">
        <v>13032</v>
      </c>
      <c r="F1834" s="39" t="s">
        <v>9154</v>
      </c>
      <c r="G1834" s="34" t="s">
        <v>9657</v>
      </c>
      <c r="I1834" s="44" t="s">
        <v>13018</v>
      </c>
      <c r="J1834" s="36" t="s">
        <v>1376</v>
      </c>
    </row>
    <row r="1835" spans="1:10" x14ac:dyDescent="0.25">
      <c r="A1835" s="31" t="s">
        <v>1377</v>
      </c>
      <c r="B1835" s="31">
        <v>50.070999999999998</v>
      </c>
      <c r="C1835" s="32" t="s">
        <v>13033</v>
      </c>
      <c r="D1835" s="31" t="s">
        <v>12947</v>
      </c>
      <c r="E1835" s="40" t="s">
        <v>13034</v>
      </c>
      <c r="F1835" s="39" t="s">
        <v>9154</v>
      </c>
      <c r="G1835" s="34" t="s">
        <v>9657</v>
      </c>
      <c r="I1835" s="44" t="s">
        <v>13018</v>
      </c>
      <c r="J1835" s="36" t="s">
        <v>1377</v>
      </c>
    </row>
    <row r="1836" spans="1:10" x14ac:dyDescent="0.25">
      <c r="A1836" s="31" t="s">
        <v>1378</v>
      </c>
      <c r="B1836" s="31">
        <v>50.071100000000001</v>
      </c>
      <c r="C1836" s="32" t="s">
        <v>13035</v>
      </c>
      <c r="D1836" s="31" t="s">
        <v>12947</v>
      </c>
      <c r="E1836" s="40" t="s">
        <v>13036</v>
      </c>
      <c r="F1836" s="39" t="s">
        <v>9154</v>
      </c>
      <c r="G1836" s="34" t="s">
        <v>9657</v>
      </c>
      <c r="I1836" s="44" t="s">
        <v>13018</v>
      </c>
      <c r="J1836" s="36" t="s">
        <v>1378</v>
      </c>
    </row>
    <row r="1837" spans="1:10" x14ac:dyDescent="0.25">
      <c r="A1837" s="31" t="s">
        <v>1379</v>
      </c>
      <c r="B1837" s="31">
        <v>50.071199999999997</v>
      </c>
      <c r="C1837" s="32" t="s">
        <v>13037</v>
      </c>
      <c r="D1837" s="31" t="s">
        <v>12947</v>
      </c>
      <c r="E1837" s="40" t="s">
        <v>13038</v>
      </c>
      <c r="F1837" s="39" t="s">
        <v>9154</v>
      </c>
      <c r="G1837" s="34" t="s">
        <v>9657</v>
      </c>
      <c r="I1837" s="44" t="s">
        <v>13018</v>
      </c>
      <c r="J1837" s="36" t="s">
        <v>1379</v>
      </c>
    </row>
    <row r="1838" spans="1:10" x14ac:dyDescent="0.25">
      <c r="A1838" s="31" t="s">
        <v>2104</v>
      </c>
      <c r="B1838" s="31">
        <v>50.071300000000001</v>
      </c>
      <c r="C1838" s="32" t="s">
        <v>13039</v>
      </c>
      <c r="D1838" s="31" t="s">
        <v>12947</v>
      </c>
      <c r="E1838" s="40" t="s">
        <v>13040</v>
      </c>
      <c r="F1838" s="39" t="s">
        <v>9154</v>
      </c>
      <c r="G1838" s="34" t="s">
        <v>9657</v>
      </c>
      <c r="I1838" s="44" t="s">
        <v>13018</v>
      </c>
      <c r="J1838" s="36" t="s">
        <v>2104</v>
      </c>
    </row>
    <row r="1839" spans="1:10" x14ac:dyDescent="0.25">
      <c r="A1839" s="31" t="s">
        <v>2105</v>
      </c>
      <c r="B1839" s="31">
        <v>50.071399999999997</v>
      </c>
      <c r="C1839" s="32" t="s">
        <v>13041</v>
      </c>
      <c r="D1839" s="31" t="s">
        <v>12947</v>
      </c>
      <c r="E1839" s="40" t="s">
        <v>13042</v>
      </c>
      <c r="F1839" s="39" t="s">
        <v>9154</v>
      </c>
      <c r="G1839" s="34" t="s">
        <v>9657</v>
      </c>
      <c r="I1839" s="44" t="s">
        <v>13018</v>
      </c>
      <c r="J1839" s="36" t="s">
        <v>2105</v>
      </c>
    </row>
    <row r="1840" spans="1:10" x14ac:dyDescent="0.25">
      <c r="A1840" s="31" t="s">
        <v>1380</v>
      </c>
      <c r="B1840" s="31">
        <v>50.079900000000002</v>
      </c>
      <c r="C1840" s="32" t="s">
        <v>13043</v>
      </c>
      <c r="D1840" s="31" t="s">
        <v>12947</v>
      </c>
      <c r="E1840" s="40" t="s">
        <v>13044</v>
      </c>
      <c r="F1840" s="39" t="s">
        <v>9154</v>
      </c>
      <c r="G1840" s="34" t="s">
        <v>9657</v>
      </c>
      <c r="I1840" s="44" t="s">
        <v>13018</v>
      </c>
      <c r="J1840" s="36" t="s">
        <v>1380</v>
      </c>
    </row>
    <row r="1841" spans="1:10" x14ac:dyDescent="0.25">
      <c r="A1841" s="31" t="s">
        <v>1006</v>
      </c>
      <c r="B1841" s="31">
        <v>50.09</v>
      </c>
      <c r="C1841" s="32" t="s">
        <v>13045</v>
      </c>
      <c r="D1841" s="31" t="s">
        <v>12947</v>
      </c>
      <c r="E1841" s="40" t="s">
        <v>9658</v>
      </c>
      <c r="F1841" s="39" t="s">
        <v>9154</v>
      </c>
      <c r="G1841" s="34" t="s">
        <v>9658</v>
      </c>
      <c r="H1841" s="34" t="s">
        <v>9658</v>
      </c>
      <c r="I1841" s="44" t="s">
        <v>13045</v>
      </c>
      <c r="J1841" s="36" t="s">
        <v>1006</v>
      </c>
    </row>
    <row r="1842" spans="1:10" x14ac:dyDescent="0.25">
      <c r="A1842" s="31" t="s">
        <v>1381</v>
      </c>
      <c r="B1842" s="31">
        <v>50.0901</v>
      </c>
      <c r="C1842" s="32" t="s">
        <v>13046</v>
      </c>
      <c r="D1842" s="31" t="s">
        <v>12947</v>
      </c>
      <c r="E1842" s="40" t="s">
        <v>13047</v>
      </c>
      <c r="F1842" s="39" t="s">
        <v>9154</v>
      </c>
      <c r="G1842" s="34" t="s">
        <v>9658</v>
      </c>
      <c r="I1842" s="44" t="s">
        <v>13045</v>
      </c>
      <c r="J1842" s="36" t="s">
        <v>1381</v>
      </c>
    </row>
    <row r="1843" spans="1:10" x14ac:dyDescent="0.25">
      <c r="A1843" s="31" t="s">
        <v>1382</v>
      </c>
      <c r="B1843" s="31">
        <v>50.090200000000003</v>
      </c>
      <c r="C1843" s="32" t="s">
        <v>13048</v>
      </c>
      <c r="D1843" s="31" t="s">
        <v>12947</v>
      </c>
      <c r="E1843" s="40" t="s">
        <v>13049</v>
      </c>
      <c r="F1843" s="39" t="s">
        <v>9154</v>
      </c>
      <c r="G1843" s="34" t="s">
        <v>9658</v>
      </c>
      <c r="I1843" s="44" t="s">
        <v>13045</v>
      </c>
      <c r="J1843" s="36" t="s">
        <v>1382</v>
      </c>
    </row>
    <row r="1844" spans="1:10" x14ac:dyDescent="0.25">
      <c r="A1844" s="31" t="s">
        <v>1383</v>
      </c>
      <c r="B1844" s="31">
        <v>50.090299999999999</v>
      </c>
      <c r="C1844" s="32" t="s">
        <v>13050</v>
      </c>
      <c r="D1844" s="31" t="s">
        <v>12947</v>
      </c>
      <c r="E1844" s="40" t="s">
        <v>13051</v>
      </c>
      <c r="F1844" s="39" t="s">
        <v>9154</v>
      </c>
      <c r="G1844" s="34" t="s">
        <v>9658</v>
      </c>
      <c r="I1844" s="44" t="s">
        <v>13045</v>
      </c>
      <c r="J1844" s="36" t="s">
        <v>1383</v>
      </c>
    </row>
    <row r="1845" spans="1:10" x14ac:dyDescent="0.25">
      <c r="A1845" s="31" t="s">
        <v>1384</v>
      </c>
      <c r="B1845" s="31">
        <v>50.090400000000002</v>
      </c>
      <c r="C1845" s="32" t="s">
        <v>13052</v>
      </c>
      <c r="D1845" s="31" t="s">
        <v>12947</v>
      </c>
      <c r="E1845" s="40" t="s">
        <v>13053</v>
      </c>
      <c r="F1845" s="39" t="s">
        <v>9154</v>
      </c>
      <c r="G1845" s="34" t="s">
        <v>9658</v>
      </c>
      <c r="I1845" s="44" t="s">
        <v>13045</v>
      </c>
      <c r="J1845" s="36" t="s">
        <v>1384</v>
      </c>
    </row>
    <row r="1846" spans="1:10" x14ac:dyDescent="0.25">
      <c r="A1846" s="31" t="s">
        <v>1385</v>
      </c>
      <c r="B1846" s="31">
        <v>50.090499999999999</v>
      </c>
      <c r="C1846" s="32" t="s">
        <v>13054</v>
      </c>
      <c r="D1846" s="31" t="s">
        <v>12947</v>
      </c>
      <c r="E1846" s="40" t="s">
        <v>13055</v>
      </c>
      <c r="F1846" s="39" t="s">
        <v>9154</v>
      </c>
      <c r="G1846" s="34" t="s">
        <v>9658</v>
      </c>
      <c r="I1846" s="44" t="s">
        <v>13045</v>
      </c>
      <c r="J1846" s="36" t="s">
        <v>1385</v>
      </c>
    </row>
    <row r="1847" spans="1:10" x14ac:dyDescent="0.25">
      <c r="A1847" s="31" t="s">
        <v>1386</v>
      </c>
      <c r="B1847" s="31">
        <v>50.090600000000002</v>
      </c>
      <c r="C1847" s="32" t="s">
        <v>13056</v>
      </c>
      <c r="D1847" s="31" t="s">
        <v>12947</v>
      </c>
      <c r="E1847" s="40" t="s">
        <v>13057</v>
      </c>
      <c r="F1847" s="39" t="s">
        <v>9154</v>
      </c>
      <c r="G1847" s="34" t="s">
        <v>9658</v>
      </c>
      <c r="I1847" s="44" t="s">
        <v>13045</v>
      </c>
      <c r="J1847" s="36" t="s">
        <v>1386</v>
      </c>
    </row>
    <row r="1848" spans="1:10" x14ac:dyDescent="0.25">
      <c r="A1848" s="31" t="s">
        <v>1387</v>
      </c>
      <c r="B1848" s="31">
        <v>50.090699999999998</v>
      </c>
      <c r="C1848" s="32" t="s">
        <v>13058</v>
      </c>
      <c r="D1848" s="31" t="s">
        <v>12947</v>
      </c>
      <c r="E1848" s="40" t="s">
        <v>13059</v>
      </c>
      <c r="F1848" s="39" t="s">
        <v>9154</v>
      </c>
      <c r="G1848" s="34" t="s">
        <v>9658</v>
      </c>
      <c r="I1848" s="44" t="s">
        <v>13045</v>
      </c>
      <c r="J1848" s="36" t="s">
        <v>1387</v>
      </c>
    </row>
    <row r="1849" spans="1:10" x14ac:dyDescent="0.25">
      <c r="A1849" s="31" t="s">
        <v>1388</v>
      </c>
      <c r="B1849" s="31">
        <v>50.090800000000002</v>
      </c>
      <c r="C1849" s="32" t="s">
        <v>13060</v>
      </c>
      <c r="D1849" s="31" t="s">
        <v>12947</v>
      </c>
      <c r="E1849" s="40" t="s">
        <v>13061</v>
      </c>
      <c r="F1849" s="39" t="s">
        <v>9154</v>
      </c>
      <c r="G1849" s="34" t="s">
        <v>9658</v>
      </c>
      <c r="I1849" s="44" t="s">
        <v>13045</v>
      </c>
      <c r="J1849" s="36" t="s">
        <v>1388</v>
      </c>
    </row>
    <row r="1850" spans="1:10" x14ac:dyDescent="0.25">
      <c r="A1850" s="31" t="s">
        <v>1389</v>
      </c>
      <c r="B1850" s="31">
        <v>50.091000000000001</v>
      </c>
      <c r="C1850" s="32" t="s">
        <v>13062</v>
      </c>
      <c r="D1850" s="31" t="s">
        <v>12947</v>
      </c>
      <c r="E1850" s="40" t="s">
        <v>13063</v>
      </c>
      <c r="F1850" s="39" t="s">
        <v>9154</v>
      </c>
      <c r="G1850" s="34" t="s">
        <v>9658</v>
      </c>
      <c r="I1850" s="44" t="s">
        <v>13045</v>
      </c>
      <c r="J1850" s="36" t="s">
        <v>1389</v>
      </c>
    </row>
    <row r="1851" spans="1:10" x14ac:dyDescent="0.25">
      <c r="A1851" s="31" t="s">
        <v>1390</v>
      </c>
      <c r="B1851" s="31">
        <v>50.091099999999997</v>
      </c>
      <c r="C1851" s="32" t="s">
        <v>13064</v>
      </c>
      <c r="D1851" s="31" t="s">
        <v>12947</v>
      </c>
      <c r="E1851" s="40" t="s">
        <v>13065</v>
      </c>
      <c r="F1851" s="39" t="s">
        <v>9154</v>
      </c>
      <c r="G1851" s="34" t="s">
        <v>9658</v>
      </c>
      <c r="I1851" s="44" t="s">
        <v>13045</v>
      </c>
      <c r="J1851" s="36" t="s">
        <v>1390</v>
      </c>
    </row>
    <row r="1852" spans="1:10" x14ac:dyDescent="0.25">
      <c r="A1852" s="31" t="s">
        <v>1391</v>
      </c>
      <c r="B1852" s="31">
        <v>50.091200000000001</v>
      </c>
      <c r="C1852" s="32" t="s">
        <v>13066</v>
      </c>
      <c r="D1852" s="31" t="s">
        <v>12947</v>
      </c>
      <c r="E1852" s="40" t="s">
        <v>13067</v>
      </c>
      <c r="F1852" s="39" t="s">
        <v>9154</v>
      </c>
      <c r="G1852" s="34" t="s">
        <v>9658</v>
      </c>
      <c r="I1852" s="44" t="s">
        <v>13045</v>
      </c>
      <c r="J1852" s="36" t="s">
        <v>1391</v>
      </c>
    </row>
    <row r="1853" spans="1:10" x14ac:dyDescent="0.25">
      <c r="A1853" s="31" t="s">
        <v>1392</v>
      </c>
      <c r="B1853" s="31">
        <v>50.091299999999997</v>
      </c>
      <c r="C1853" s="32" t="s">
        <v>13068</v>
      </c>
      <c r="D1853" s="31" t="s">
        <v>12947</v>
      </c>
      <c r="E1853" s="40" t="s">
        <v>13069</v>
      </c>
      <c r="F1853" s="39" t="s">
        <v>9154</v>
      </c>
      <c r="G1853" s="34" t="s">
        <v>9658</v>
      </c>
      <c r="I1853" s="44" t="s">
        <v>13045</v>
      </c>
      <c r="J1853" s="36" t="s">
        <v>1392</v>
      </c>
    </row>
    <row r="1854" spans="1:10" x14ac:dyDescent="0.25">
      <c r="A1854" s="31" t="s">
        <v>1393</v>
      </c>
      <c r="B1854" s="31">
        <v>50.0914</v>
      </c>
      <c r="C1854" s="32" t="s">
        <v>13070</v>
      </c>
      <c r="D1854" s="31" t="s">
        <v>12947</v>
      </c>
      <c r="E1854" s="40" t="s">
        <v>13071</v>
      </c>
      <c r="F1854" s="39" t="s">
        <v>9154</v>
      </c>
      <c r="G1854" s="34" t="s">
        <v>9658</v>
      </c>
      <c r="I1854" s="44" t="s">
        <v>13045</v>
      </c>
      <c r="J1854" s="36" t="s">
        <v>1393</v>
      </c>
    </row>
    <row r="1855" spans="1:10" x14ac:dyDescent="0.25">
      <c r="A1855" s="31" t="s">
        <v>1394</v>
      </c>
      <c r="B1855" s="31">
        <v>50.091500000000003</v>
      </c>
      <c r="C1855" s="32" t="s">
        <v>13072</v>
      </c>
      <c r="D1855" s="31" t="s">
        <v>12947</v>
      </c>
      <c r="E1855" s="40" t="s">
        <v>13073</v>
      </c>
      <c r="F1855" s="39" t="s">
        <v>9154</v>
      </c>
      <c r="G1855" s="34" t="s">
        <v>9658</v>
      </c>
      <c r="I1855" s="44" t="s">
        <v>13045</v>
      </c>
      <c r="J1855" s="36" t="s">
        <v>1394</v>
      </c>
    </row>
    <row r="1856" spans="1:10" x14ac:dyDescent="0.25">
      <c r="A1856" s="31" t="s">
        <v>1395</v>
      </c>
      <c r="B1856" s="31">
        <v>50.0916</v>
      </c>
      <c r="C1856" s="32" t="s">
        <v>13074</v>
      </c>
      <c r="D1856" s="31" t="s">
        <v>12947</v>
      </c>
      <c r="E1856" s="40" t="s">
        <v>13075</v>
      </c>
      <c r="F1856" s="39" t="s">
        <v>9154</v>
      </c>
      <c r="G1856" s="34" t="s">
        <v>9658</v>
      </c>
      <c r="I1856" s="44" t="s">
        <v>13045</v>
      </c>
      <c r="J1856" s="36" t="s">
        <v>1395</v>
      </c>
    </row>
    <row r="1857" spans="1:10" x14ac:dyDescent="0.25">
      <c r="A1857" s="31" t="s">
        <v>2106</v>
      </c>
      <c r="B1857" s="31">
        <v>50.091700000000003</v>
      </c>
      <c r="C1857" s="32" t="s">
        <v>13076</v>
      </c>
      <c r="D1857" s="31" t="s">
        <v>12947</v>
      </c>
      <c r="E1857" s="40" t="s">
        <v>13077</v>
      </c>
      <c r="F1857" s="39" t="s">
        <v>9154</v>
      </c>
      <c r="G1857" s="34" t="s">
        <v>9658</v>
      </c>
      <c r="I1857" s="44" t="s">
        <v>13045</v>
      </c>
      <c r="J1857" s="36" t="s">
        <v>2106</v>
      </c>
    </row>
    <row r="1858" spans="1:10" x14ac:dyDescent="0.25">
      <c r="A1858" s="31" t="s">
        <v>1396</v>
      </c>
      <c r="B1858" s="31">
        <v>50.099899999999998</v>
      </c>
      <c r="C1858" s="32" t="s">
        <v>13078</v>
      </c>
      <c r="D1858" s="31" t="s">
        <v>12947</v>
      </c>
      <c r="E1858" s="40" t="s">
        <v>13079</v>
      </c>
      <c r="F1858" s="39" t="s">
        <v>9154</v>
      </c>
      <c r="G1858" s="34" t="s">
        <v>9658</v>
      </c>
      <c r="I1858" s="44" t="s">
        <v>13045</v>
      </c>
      <c r="J1858" s="36" t="s">
        <v>1396</v>
      </c>
    </row>
    <row r="1859" spans="1:10" x14ac:dyDescent="0.25">
      <c r="A1859" s="31" t="s">
        <v>2107</v>
      </c>
      <c r="B1859" s="31">
        <v>50.1</v>
      </c>
      <c r="C1859" s="32" t="s">
        <v>13080</v>
      </c>
      <c r="D1859" s="31" t="s">
        <v>12947</v>
      </c>
      <c r="E1859" s="40" t="s">
        <v>9659</v>
      </c>
      <c r="F1859" s="39" t="s">
        <v>9154</v>
      </c>
      <c r="G1859" s="34" t="s">
        <v>9659</v>
      </c>
      <c r="H1859" s="34" t="s">
        <v>9659</v>
      </c>
      <c r="I1859" s="44" t="s">
        <v>13080</v>
      </c>
      <c r="J1859" s="36" t="s">
        <v>2107</v>
      </c>
    </row>
    <row r="1860" spans="1:10" x14ac:dyDescent="0.25">
      <c r="A1860" s="31" t="s">
        <v>2108</v>
      </c>
      <c r="B1860" s="31">
        <v>50.100099999999998</v>
      </c>
      <c r="C1860" s="32" t="s">
        <v>13081</v>
      </c>
      <c r="D1860" s="31" t="s">
        <v>12947</v>
      </c>
      <c r="E1860" s="40" t="s">
        <v>13082</v>
      </c>
      <c r="F1860" s="39" t="s">
        <v>9154</v>
      </c>
      <c r="G1860" s="34" t="s">
        <v>9659</v>
      </c>
      <c r="I1860" s="44" t="s">
        <v>13080</v>
      </c>
      <c r="J1860" s="36" t="s">
        <v>2108</v>
      </c>
    </row>
    <row r="1861" spans="1:10" x14ac:dyDescent="0.25">
      <c r="A1861" s="31" t="s">
        <v>1397</v>
      </c>
      <c r="B1861" s="31">
        <v>50.100200000000001</v>
      </c>
      <c r="C1861" s="32" t="s">
        <v>13083</v>
      </c>
      <c r="D1861" s="31" t="s">
        <v>12947</v>
      </c>
      <c r="E1861" s="40" t="s">
        <v>13084</v>
      </c>
      <c r="F1861" s="39" t="s">
        <v>9154</v>
      </c>
      <c r="G1861" s="34" t="s">
        <v>9659</v>
      </c>
      <c r="I1861" s="44" t="s">
        <v>13080</v>
      </c>
      <c r="J1861" s="36" t="s">
        <v>1397</v>
      </c>
    </row>
    <row r="1862" spans="1:10" x14ac:dyDescent="0.25">
      <c r="A1862" s="31" t="s">
        <v>1398</v>
      </c>
      <c r="B1862" s="31">
        <v>50.100299999999997</v>
      </c>
      <c r="C1862" s="32" t="s">
        <v>13085</v>
      </c>
      <c r="D1862" s="31" t="s">
        <v>12947</v>
      </c>
      <c r="E1862" s="40" t="s">
        <v>13086</v>
      </c>
      <c r="F1862" s="39" t="s">
        <v>9154</v>
      </c>
      <c r="G1862" s="34" t="s">
        <v>9659</v>
      </c>
      <c r="I1862" s="44" t="s">
        <v>13080</v>
      </c>
      <c r="J1862" s="36" t="s">
        <v>1398</v>
      </c>
    </row>
    <row r="1863" spans="1:10" x14ac:dyDescent="0.25">
      <c r="A1863" s="31" t="s">
        <v>1360</v>
      </c>
      <c r="B1863" s="31">
        <v>50.1004</v>
      </c>
      <c r="C1863" s="32" t="s">
        <v>13087</v>
      </c>
      <c r="D1863" s="31" t="s">
        <v>12947</v>
      </c>
      <c r="E1863" s="40" t="s">
        <v>13088</v>
      </c>
      <c r="F1863" s="39" t="s">
        <v>9154</v>
      </c>
      <c r="G1863" s="34" t="s">
        <v>9659</v>
      </c>
      <c r="I1863" s="44" t="s">
        <v>13080</v>
      </c>
      <c r="J1863" s="36" t="s">
        <v>1360</v>
      </c>
    </row>
    <row r="1864" spans="1:10" x14ac:dyDescent="0.25">
      <c r="A1864" s="31" t="s">
        <v>1399</v>
      </c>
      <c r="B1864" s="31">
        <v>50.109900000000003</v>
      </c>
      <c r="C1864" s="32" t="s">
        <v>13089</v>
      </c>
      <c r="D1864" s="31" t="s">
        <v>12947</v>
      </c>
      <c r="E1864" s="40" t="s">
        <v>13090</v>
      </c>
      <c r="F1864" s="39" t="s">
        <v>9154</v>
      </c>
      <c r="G1864" s="34" t="s">
        <v>9659</v>
      </c>
      <c r="I1864" s="44" t="s">
        <v>13080</v>
      </c>
      <c r="J1864" s="36" t="s">
        <v>1399</v>
      </c>
    </row>
    <row r="1865" spans="1:10" x14ac:dyDescent="0.25">
      <c r="A1865" s="31" t="s">
        <v>2109</v>
      </c>
      <c r="B1865" s="31">
        <v>50.11</v>
      </c>
      <c r="C1865" s="32" t="s">
        <v>13091</v>
      </c>
      <c r="D1865" s="31" t="s">
        <v>12947</v>
      </c>
      <c r="E1865" s="40" t="s">
        <v>9660</v>
      </c>
      <c r="F1865" s="39" t="s">
        <v>9154</v>
      </c>
      <c r="G1865" s="34" t="s">
        <v>9660</v>
      </c>
      <c r="H1865" s="34" t="s">
        <v>9660</v>
      </c>
      <c r="I1865" s="35" t="s">
        <v>13091</v>
      </c>
      <c r="J1865" s="36" t="s">
        <v>2109</v>
      </c>
    </row>
    <row r="1866" spans="1:10" x14ac:dyDescent="0.25">
      <c r="A1866" s="31" t="s">
        <v>2109</v>
      </c>
      <c r="B1866" s="31">
        <v>50.110100000000003</v>
      </c>
      <c r="C1866" s="32" t="s">
        <v>13092</v>
      </c>
      <c r="D1866" s="31" t="s">
        <v>12947</v>
      </c>
      <c r="E1866" s="40" t="s">
        <v>13093</v>
      </c>
      <c r="F1866" s="39" t="s">
        <v>9154</v>
      </c>
      <c r="G1866" s="34" t="s">
        <v>9660</v>
      </c>
      <c r="I1866" s="35" t="s">
        <v>13091</v>
      </c>
      <c r="J1866" s="36" t="s">
        <v>2109</v>
      </c>
    </row>
    <row r="1867" spans="1:10" x14ac:dyDescent="0.25">
      <c r="A1867" s="31" t="s">
        <v>1400</v>
      </c>
      <c r="B1867" s="31">
        <v>50.99</v>
      </c>
      <c r="C1867" s="32" t="s">
        <v>13094</v>
      </c>
      <c r="D1867" s="31" t="s">
        <v>12947</v>
      </c>
      <c r="E1867" s="40" t="s">
        <v>9661</v>
      </c>
      <c r="F1867" s="39" t="s">
        <v>9154</v>
      </c>
      <c r="G1867" s="34" t="s">
        <v>9661</v>
      </c>
      <c r="H1867" s="34" t="s">
        <v>9661</v>
      </c>
      <c r="I1867" s="44" t="s">
        <v>13094</v>
      </c>
      <c r="J1867" s="36" t="s">
        <v>1400</v>
      </c>
    </row>
    <row r="1868" spans="1:10" x14ac:dyDescent="0.25">
      <c r="A1868" s="31" t="s">
        <v>1400</v>
      </c>
      <c r="B1868" s="31">
        <v>50.999899999999997</v>
      </c>
      <c r="C1868" s="32" t="s">
        <v>13095</v>
      </c>
      <c r="D1868" s="31" t="s">
        <v>12947</v>
      </c>
      <c r="E1868" s="40" t="s">
        <v>13096</v>
      </c>
      <c r="F1868" s="39" t="s">
        <v>9154</v>
      </c>
      <c r="G1868" s="34" t="s">
        <v>9661</v>
      </c>
      <c r="I1868" s="44" t="s">
        <v>13094</v>
      </c>
      <c r="J1868" s="36" t="s">
        <v>1400</v>
      </c>
    </row>
    <row r="1869" spans="1:10" x14ac:dyDescent="0.25">
      <c r="A1869" s="31" t="s">
        <v>1401</v>
      </c>
      <c r="B1869" s="31">
        <v>51</v>
      </c>
      <c r="C1869" s="32" t="s">
        <v>13097</v>
      </c>
      <c r="D1869" s="31" t="s">
        <v>13097</v>
      </c>
      <c r="E1869" s="40" t="s">
        <v>9662</v>
      </c>
      <c r="F1869" s="38" t="s">
        <v>9167</v>
      </c>
      <c r="G1869" s="34" t="s">
        <v>9662</v>
      </c>
      <c r="H1869" s="34" t="s">
        <v>9662</v>
      </c>
      <c r="I1869" s="45" t="s">
        <v>13097</v>
      </c>
      <c r="J1869" s="36" t="s">
        <v>1401</v>
      </c>
    </row>
    <row r="1870" spans="1:10" x14ac:dyDescent="0.25">
      <c r="A1870" s="31" t="s">
        <v>1402</v>
      </c>
      <c r="B1870" s="31">
        <v>51</v>
      </c>
      <c r="C1870" s="32" t="s">
        <v>13098</v>
      </c>
      <c r="D1870" s="31" t="s">
        <v>13097</v>
      </c>
      <c r="E1870" s="40" t="s">
        <v>9663</v>
      </c>
      <c r="F1870" s="38" t="s">
        <v>9167</v>
      </c>
      <c r="G1870" s="34" t="s">
        <v>9663</v>
      </c>
      <c r="H1870" s="34" t="s">
        <v>9663</v>
      </c>
      <c r="I1870" s="44" t="s">
        <v>13098</v>
      </c>
      <c r="J1870" s="36" t="s">
        <v>1402</v>
      </c>
    </row>
    <row r="1871" spans="1:10" x14ac:dyDescent="0.25">
      <c r="A1871" s="31" t="s">
        <v>1402</v>
      </c>
      <c r="B1871" s="31">
        <v>51</v>
      </c>
      <c r="C1871" s="32" t="s">
        <v>13099</v>
      </c>
      <c r="D1871" s="31" t="s">
        <v>13097</v>
      </c>
      <c r="E1871" s="40" t="s">
        <v>13100</v>
      </c>
      <c r="F1871" s="38" t="s">
        <v>9167</v>
      </c>
      <c r="G1871" s="34" t="s">
        <v>9663</v>
      </c>
      <c r="I1871" s="44" t="s">
        <v>13098</v>
      </c>
      <c r="J1871" s="36" t="s">
        <v>1402</v>
      </c>
    </row>
    <row r="1872" spans="1:10" x14ac:dyDescent="0.25">
      <c r="A1872" s="31" t="s">
        <v>1403</v>
      </c>
      <c r="B1872" s="31">
        <v>51.000100000000003</v>
      </c>
      <c r="C1872" s="32" t="s">
        <v>13101</v>
      </c>
      <c r="D1872" s="31" t="s">
        <v>13097</v>
      </c>
      <c r="E1872" s="40" t="s">
        <v>13102</v>
      </c>
      <c r="F1872" s="38" t="s">
        <v>9167</v>
      </c>
      <c r="G1872" s="34" t="s">
        <v>9663</v>
      </c>
      <c r="I1872" s="44" t="s">
        <v>13098</v>
      </c>
      <c r="J1872" s="36" t="s">
        <v>1403</v>
      </c>
    </row>
    <row r="1873" spans="1:10" x14ac:dyDescent="0.25">
      <c r="A1873" s="31" t="s">
        <v>1404</v>
      </c>
      <c r="B1873" s="31">
        <v>51.01</v>
      </c>
      <c r="C1873" s="32" t="s">
        <v>13103</v>
      </c>
      <c r="D1873" s="31" t="s">
        <v>13097</v>
      </c>
      <c r="E1873" s="40" t="s">
        <v>9664</v>
      </c>
      <c r="F1873" s="38" t="s">
        <v>9167</v>
      </c>
      <c r="G1873" s="34" t="s">
        <v>9664</v>
      </c>
      <c r="H1873" s="34" t="s">
        <v>9664</v>
      </c>
      <c r="I1873" s="35" t="s">
        <v>13103</v>
      </c>
      <c r="J1873" s="36" t="s">
        <v>1404</v>
      </c>
    </row>
    <row r="1874" spans="1:10" x14ac:dyDescent="0.25">
      <c r="A1874" s="31" t="s">
        <v>1404</v>
      </c>
      <c r="B1874" s="31">
        <v>51.010100000000001</v>
      </c>
      <c r="C1874" s="32" t="s">
        <v>13104</v>
      </c>
      <c r="D1874" s="31" t="s">
        <v>13097</v>
      </c>
      <c r="E1874" s="40" t="s">
        <v>13105</v>
      </c>
      <c r="F1874" s="38" t="s">
        <v>9167</v>
      </c>
      <c r="G1874" s="34" t="s">
        <v>9664</v>
      </c>
      <c r="I1874" s="35" t="s">
        <v>13103</v>
      </c>
      <c r="J1874" s="36" t="s">
        <v>1404</v>
      </c>
    </row>
    <row r="1875" spans="1:10" x14ac:dyDescent="0.25">
      <c r="A1875" s="31" t="s">
        <v>1405</v>
      </c>
      <c r="B1875" s="31">
        <v>51.02</v>
      </c>
      <c r="C1875" s="32" t="s">
        <v>13106</v>
      </c>
      <c r="D1875" s="31" t="s">
        <v>13097</v>
      </c>
      <c r="E1875" s="40" t="s">
        <v>9665</v>
      </c>
      <c r="F1875" s="38" t="s">
        <v>9167</v>
      </c>
      <c r="G1875" s="34" t="s">
        <v>9665</v>
      </c>
      <c r="H1875" s="34" t="s">
        <v>9665</v>
      </c>
      <c r="I1875" s="44" t="s">
        <v>13106</v>
      </c>
      <c r="J1875" s="36" t="s">
        <v>1405</v>
      </c>
    </row>
    <row r="1876" spans="1:10" x14ac:dyDescent="0.25">
      <c r="A1876" s="31" t="s">
        <v>1406</v>
      </c>
      <c r="B1876" s="31">
        <v>51.020099999999999</v>
      </c>
      <c r="C1876" s="32" t="s">
        <v>13107</v>
      </c>
      <c r="D1876" s="31" t="s">
        <v>13097</v>
      </c>
      <c r="E1876" s="40" t="s">
        <v>13108</v>
      </c>
      <c r="F1876" s="38" t="s">
        <v>9167</v>
      </c>
      <c r="G1876" s="34" t="s">
        <v>9665</v>
      </c>
      <c r="I1876" s="44" t="s">
        <v>13106</v>
      </c>
      <c r="J1876" s="36" t="s">
        <v>1406</v>
      </c>
    </row>
    <row r="1877" spans="1:10" x14ac:dyDescent="0.25">
      <c r="A1877" s="31" t="s">
        <v>1407</v>
      </c>
      <c r="B1877" s="31">
        <v>51.020200000000003</v>
      </c>
      <c r="C1877" s="32" t="s">
        <v>13109</v>
      </c>
      <c r="D1877" s="31" t="s">
        <v>13097</v>
      </c>
      <c r="E1877" s="40" t="s">
        <v>13110</v>
      </c>
      <c r="F1877" s="38" t="s">
        <v>9167</v>
      </c>
      <c r="G1877" s="34" t="s">
        <v>9665</v>
      </c>
      <c r="I1877" s="44" t="s">
        <v>13106</v>
      </c>
      <c r="J1877" s="36" t="s">
        <v>1407</v>
      </c>
    </row>
    <row r="1878" spans="1:10" x14ac:dyDescent="0.25">
      <c r="A1878" s="31" t="s">
        <v>1408</v>
      </c>
      <c r="B1878" s="31">
        <v>51.020299999999999</v>
      </c>
      <c r="C1878" s="32" t="s">
        <v>13111</v>
      </c>
      <c r="D1878" s="31" t="s">
        <v>13097</v>
      </c>
      <c r="E1878" s="40" t="s">
        <v>13112</v>
      </c>
      <c r="F1878" s="38" t="s">
        <v>9167</v>
      </c>
      <c r="G1878" s="34" t="s">
        <v>9665</v>
      </c>
      <c r="I1878" s="44" t="s">
        <v>13106</v>
      </c>
      <c r="J1878" s="36" t="s">
        <v>1408</v>
      </c>
    </row>
    <row r="1879" spans="1:10" x14ac:dyDescent="0.25">
      <c r="A1879" s="31" t="s">
        <v>1409</v>
      </c>
      <c r="B1879" s="31">
        <v>51.020400000000002</v>
      </c>
      <c r="C1879" s="32" t="s">
        <v>13113</v>
      </c>
      <c r="D1879" s="31" t="s">
        <v>13097</v>
      </c>
      <c r="E1879" s="40" t="s">
        <v>13114</v>
      </c>
      <c r="F1879" s="38" t="s">
        <v>9167</v>
      </c>
      <c r="G1879" s="34" t="s">
        <v>9665</v>
      </c>
      <c r="I1879" s="44" t="s">
        <v>13106</v>
      </c>
      <c r="J1879" s="36" t="s">
        <v>1409</v>
      </c>
    </row>
    <row r="1880" spans="1:10" x14ac:dyDescent="0.25">
      <c r="A1880" s="31" t="s">
        <v>1410</v>
      </c>
      <c r="B1880" s="31">
        <v>51.029899999999998</v>
      </c>
      <c r="C1880" s="32" t="s">
        <v>13115</v>
      </c>
      <c r="D1880" s="31" t="s">
        <v>13097</v>
      </c>
      <c r="E1880" s="40" t="s">
        <v>13116</v>
      </c>
      <c r="F1880" s="38" t="s">
        <v>9167</v>
      </c>
      <c r="G1880" s="34" t="s">
        <v>9665</v>
      </c>
      <c r="I1880" s="44" t="s">
        <v>13106</v>
      </c>
      <c r="J1880" s="36" t="s">
        <v>1410</v>
      </c>
    </row>
    <row r="1881" spans="1:10" x14ac:dyDescent="0.25">
      <c r="A1881" s="31" t="s">
        <v>1411</v>
      </c>
      <c r="B1881" s="31">
        <v>51.04</v>
      </c>
      <c r="C1881" s="32" t="s">
        <v>13117</v>
      </c>
      <c r="D1881" s="31" t="s">
        <v>13097</v>
      </c>
      <c r="E1881" s="40" t="s">
        <v>9666</v>
      </c>
      <c r="F1881" s="38" t="s">
        <v>9167</v>
      </c>
      <c r="G1881" s="34" t="s">
        <v>9666</v>
      </c>
      <c r="H1881" s="34" t="s">
        <v>9666</v>
      </c>
      <c r="I1881" s="35" t="s">
        <v>13117</v>
      </c>
      <c r="J1881" s="36" t="s">
        <v>1411</v>
      </c>
    </row>
    <row r="1882" spans="1:10" x14ac:dyDescent="0.25">
      <c r="A1882" s="31" t="s">
        <v>1411</v>
      </c>
      <c r="B1882" s="31">
        <v>51.040100000000002</v>
      </c>
      <c r="C1882" s="32" t="s">
        <v>13118</v>
      </c>
      <c r="D1882" s="31" t="s">
        <v>13097</v>
      </c>
      <c r="E1882" s="40" t="s">
        <v>13119</v>
      </c>
      <c r="F1882" s="38" t="s">
        <v>9167</v>
      </c>
      <c r="G1882" s="34" t="s">
        <v>9666</v>
      </c>
      <c r="I1882" s="35" t="s">
        <v>13117</v>
      </c>
      <c r="J1882" s="36" t="s">
        <v>1411</v>
      </c>
    </row>
    <row r="1883" spans="1:10" x14ac:dyDescent="0.25">
      <c r="A1883" s="31" t="s">
        <v>1412</v>
      </c>
      <c r="B1883" s="31">
        <v>51.05</v>
      </c>
      <c r="C1883" s="32" t="s">
        <v>13120</v>
      </c>
      <c r="D1883" s="31" t="s">
        <v>13097</v>
      </c>
      <c r="E1883" s="40" t="s">
        <v>9667</v>
      </c>
      <c r="F1883" s="38" t="s">
        <v>9167</v>
      </c>
      <c r="G1883" s="34" t="s">
        <v>9667</v>
      </c>
      <c r="H1883" s="34" t="s">
        <v>9667</v>
      </c>
      <c r="I1883" s="44" t="s">
        <v>13120</v>
      </c>
      <c r="J1883" s="36" t="s">
        <v>1412</v>
      </c>
    </row>
    <row r="1884" spans="1:10" x14ac:dyDescent="0.25">
      <c r="A1884" s="31" t="s">
        <v>1413</v>
      </c>
      <c r="B1884" s="31">
        <v>51.0501</v>
      </c>
      <c r="C1884" s="32" t="s">
        <v>13121</v>
      </c>
      <c r="D1884" s="31" t="s">
        <v>13097</v>
      </c>
      <c r="E1884" s="40" t="s">
        <v>13122</v>
      </c>
      <c r="F1884" s="38" t="s">
        <v>9167</v>
      </c>
      <c r="G1884" s="34" t="s">
        <v>9667</v>
      </c>
      <c r="I1884" s="44" t="s">
        <v>13120</v>
      </c>
      <c r="J1884" s="36" t="s">
        <v>1413</v>
      </c>
    </row>
    <row r="1885" spans="1:10" x14ac:dyDescent="0.25">
      <c r="A1885" s="31" t="s">
        <v>1414</v>
      </c>
      <c r="B1885" s="31">
        <v>51.050199999999997</v>
      </c>
      <c r="C1885" s="32" t="s">
        <v>13123</v>
      </c>
      <c r="D1885" s="31" t="s">
        <v>13097</v>
      </c>
      <c r="E1885" s="40" t="s">
        <v>13124</v>
      </c>
      <c r="F1885" s="38" t="s">
        <v>9167</v>
      </c>
      <c r="G1885" s="34" t="s">
        <v>9667</v>
      </c>
      <c r="I1885" s="44" t="s">
        <v>13120</v>
      </c>
      <c r="J1885" s="36" t="s">
        <v>1414</v>
      </c>
    </row>
    <row r="1886" spans="1:10" x14ac:dyDescent="0.25">
      <c r="A1886" s="31" t="s">
        <v>1415</v>
      </c>
      <c r="B1886" s="31">
        <v>51.0503</v>
      </c>
      <c r="C1886" s="32" t="s">
        <v>13125</v>
      </c>
      <c r="D1886" s="31" t="s">
        <v>13097</v>
      </c>
      <c r="E1886" s="40" t="s">
        <v>13126</v>
      </c>
      <c r="F1886" s="38" t="s">
        <v>9167</v>
      </c>
      <c r="G1886" s="34" t="s">
        <v>9667</v>
      </c>
      <c r="I1886" s="44" t="s">
        <v>13120</v>
      </c>
      <c r="J1886" s="36" t="s">
        <v>1415</v>
      </c>
    </row>
    <row r="1887" spans="1:10" x14ac:dyDescent="0.25">
      <c r="A1887" s="31" t="s">
        <v>1416</v>
      </c>
      <c r="B1887" s="31">
        <v>51.050400000000003</v>
      </c>
      <c r="C1887" s="32" t="s">
        <v>13127</v>
      </c>
      <c r="D1887" s="31" t="s">
        <v>13097</v>
      </c>
      <c r="E1887" s="40" t="s">
        <v>13128</v>
      </c>
      <c r="F1887" s="38" t="s">
        <v>9167</v>
      </c>
      <c r="G1887" s="34" t="s">
        <v>9667</v>
      </c>
      <c r="I1887" s="44" t="s">
        <v>13120</v>
      </c>
      <c r="J1887" s="36" t="s">
        <v>1416</v>
      </c>
    </row>
    <row r="1888" spans="1:10" x14ac:dyDescent="0.25">
      <c r="A1888" s="31" t="s">
        <v>1417</v>
      </c>
      <c r="B1888" s="31">
        <v>51.0505</v>
      </c>
      <c r="C1888" s="32" t="s">
        <v>13129</v>
      </c>
      <c r="D1888" s="31" t="s">
        <v>13097</v>
      </c>
      <c r="E1888" s="40" t="s">
        <v>13130</v>
      </c>
      <c r="F1888" s="38" t="s">
        <v>9167</v>
      </c>
      <c r="G1888" s="34" t="s">
        <v>9667</v>
      </c>
      <c r="I1888" s="44" t="s">
        <v>13120</v>
      </c>
      <c r="J1888" s="36" t="s">
        <v>1417</v>
      </c>
    </row>
    <row r="1889" spans="1:10" x14ac:dyDescent="0.25">
      <c r="A1889" s="31" t="s">
        <v>1418</v>
      </c>
      <c r="B1889" s="31">
        <v>51.050600000000003</v>
      </c>
      <c r="C1889" s="32" t="s">
        <v>13131</v>
      </c>
      <c r="D1889" s="31" t="s">
        <v>13097</v>
      </c>
      <c r="E1889" s="40" t="s">
        <v>13132</v>
      </c>
      <c r="F1889" s="38" t="s">
        <v>9167</v>
      </c>
      <c r="G1889" s="34" t="s">
        <v>9667</v>
      </c>
      <c r="I1889" s="44" t="s">
        <v>13120</v>
      </c>
      <c r="J1889" s="36" t="s">
        <v>1418</v>
      </c>
    </row>
    <row r="1890" spans="1:10" x14ac:dyDescent="0.25">
      <c r="A1890" s="31" t="s">
        <v>1419</v>
      </c>
      <c r="B1890" s="31">
        <v>51.050699999999999</v>
      </c>
      <c r="C1890" s="32" t="s">
        <v>13133</v>
      </c>
      <c r="D1890" s="31" t="s">
        <v>13097</v>
      </c>
      <c r="E1890" s="40" t="s">
        <v>13134</v>
      </c>
      <c r="F1890" s="38" t="s">
        <v>9167</v>
      </c>
      <c r="G1890" s="34" t="s">
        <v>9667</v>
      </c>
      <c r="I1890" s="44" t="s">
        <v>13120</v>
      </c>
      <c r="J1890" s="36" t="s">
        <v>1419</v>
      </c>
    </row>
    <row r="1891" spans="1:10" x14ac:dyDescent="0.25">
      <c r="A1891" s="31" t="s">
        <v>1420</v>
      </c>
      <c r="B1891" s="31">
        <v>51.050800000000002</v>
      </c>
      <c r="C1891" s="32" t="s">
        <v>13135</v>
      </c>
      <c r="D1891" s="31" t="s">
        <v>13097</v>
      </c>
      <c r="E1891" s="40" t="s">
        <v>13136</v>
      </c>
      <c r="F1891" s="38" t="s">
        <v>9167</v>
      </c>
      <c r="G1891" s="34" t="s">
        <v>9667</v>
      </c>
      <c r="I1891" s="44" t="s">
        <v>13120</v>
      </c>
      <c r="J1891" s="36" t="s">
        <v>1420</v>
      </c>
    </row>
    <row r="1892" spans="1:10" x14ac:dyDescent="0.25">
      <c r="A1892" s="31" t="s">
        <v>1421</v>
      </c>
      <c r="B1892" s="31">
        <v>51.050899999999999</v>
      </c>
      <c r="C1892" s="32" t="s">
        <v>13137</v>
      </c>
      <c r="D1892" s="31" t="s">
        <v>13097</v>
      </c>
      <c r="E1892" s="40" t="s">
        <v>13138</v>
      </c>
      <c r="F1892" s="38" t="s">
        <v>9167</v>
      </c>
      <c r="G1892" s="34" t="s">
        <v>9667</v>
      </c>
      <c r="I1892" s="44" t="s">
        <v>13120</v>
      </c>
      <c r="J1892" s="36" t="s">
        <v>1421</v>
      </c>
    </row>
    <row r="1893" spans="1:10" x14ac:dyDescent="0.25">
      <c r="A1893" s="31" t="s">
        <v>1422</v>
      </c>
      <c r="B1893" s="31">
        <v>51.051000000000002</v>
      </c>
      <c r="C1893" s="32" t="s">
        <v>13139</v>
      </c>
      <c r="D1893" s="31" t="s">
        <v>13097</v>
      </c>
      <c r="E1893" s="40" t="s">
        <v>13140</v>
      </c>
      <c r="F1893" s="38" t="s">
        <v>9167</v>
      </c>
      <c r="G1893" s="34" t="s">
        <v>9667</v>
      </c>
      <c r="I1893" s="44" t="s">
        <v>13120</v>
      </c>
      <c r="J1893" s="36" t="s">
        <v>1422</v>
      </c>
    </row>
    <row r="1894" spans="1:10" x14ac:dyDescent="0.25">
      <c r="A1894" s="31" t="s">
        <v>1423</v>
      </c>
      <c r="B1894" s="31">
        <v>51.051099999999998</v>
      </c>
      <c r="C1894" s="32" t="s">
        <v>13141</v>
      </c>
      <c r="D1894" s="31" t="s">
        <v>13097</v>
      </c>
      <c r="E1894" s="40" t="s">
        <v>13142</v>
      </c>
      <c r="F1894" s="38" t="s">
        <v>9167</v>
      </c>
      <c r="G1894" s="34" t="s">
        <v>9667</v>
      </c>
      <c r="I1894" s="44" t="s">
        <v>13120</v>
      </c>
      <c r="J1894" s="36" t="s">
        <v>1423</v>
      </c>
    </row>
    <row r="1895" spans="1:10" x14ac:dyDescent="0.25">
      <c r="A1895" s="31" t="s">
        <v>2110</v>
      </c>
      <c r="B1895" s="31">
        <v>51.051200000000001</v>
      </c>
      <c r="C1895" s="32" t="s">
        <v>13143</v>
      </c>
      <c r="D1895" s="31" t="s">
        <v>13097</v>
      </c>
      <c r="E1895" s="40" t="s">
        <v>13144</v>
      </c>
      <c r="F1895" s="38" t="s">
        <v>9167</v>
      </c>
      <c r="G1895" s="34" t="s">
        <v>9667</v>
      </c>
      <c r="I1895" s="44" t="s">
        <v>13120</v>
      </c>
      <c r="J1895" s="36" t="s">
        <v>2110</v>
      </c>
    </row>
    <row r="1896" spans="1:10" x14ac:dyDescent="0.25">
      <c r="A1896" s="31" t="s">
        <v>2111</v>
      </c>
      <c r="B1896" s="31">
        <v>51.051299999999998</v>
      </c>
      <c r="C1896" s="32" t="s">
        <v>13145</v>
      </c>
      <c r="D1896" s="31" t="s">
        <v>13097</v>
      </c>
      <c r="E1896" s="40" t="s">
        <v>13146</v>
      </c>
      <c r="F1896" s="38" t="s">
        <v>9167</v>
      </c>
      <c r="G1896" s="34" t="s">
        <v>9667</v>
      </c>
      <c r="I1896" s="44" t="s">
        <v>13120</v>
      </c>
      <c r="J1896" s="36" t="s">
        <v>2111</v>
      </c>
    </row>
    <row r="1897" spans="1:10" x14ac:dyDescent="0.25">
      <c r="A1897" s="31" t="s">
        <v>2112</v>
      </c>
      <c r="B1897" s="31">
        <v>51.051400000000001</v>
      </c>
      <c r="C1897" s="32" t="s">
        <v>13147</v>
      </c>
      <c r="D1897" s="31" t="s">
        <v>13097</v>
      </c>
      <c r="E1897" s="40" t="s">
        <v>13148</v>
      </c>
      <c r="F1897" s="38" t="s">
        <v>9167</v>
      </c>
      <c r="G1897" s="34" t="s">
        <v>9667</v>
      </c>
      <c r="I1897" s="44" t="s">
        <v>13120</v>
      </c>
      <c r="J1897" s="36" t="s">
        <v>2112</v>
      </c>
    </row>
    <row r="1898" spans="1:10" x14ac:dyDescent="0.25">
      <c r="A1898" s="31" t="s">
        <v>1424</v>
      </c>
      <c r="B1898" s="31">
        <v>51.059899999999999</v>
      </c>
      <c r="C1898" s="32" t="s">
        <v>13149</v>
      </c>
      <c r="D1898" s="31" t="s">
        <v>13097</v>
      </c>
      <c r="E1898" s="40" t="s">
        <v>13150</v>
      </c>
      <c r="F1898" s="38" t="s">
        <v>9167</v>
      </c>
      <c r="G1898" s="34" t="s">
        <v>9667</v>
      </c>
      <c r="I1898" s="44" t="s">
        <v>13120</v>
      </c>
      <c r="J1898" s="36" t="s">
        <v>1424</v>
      </c>
    </row>
    <row r="1899" spans="1:10" x14ac:dyDescent="0.25">
      <c r="A1899" s="31" t="s">
        <v>1425</v>
      </c>
      <c r="B1899" s="31">
        <v>51.06</v>
      </c>
      <c r="C1899" s="32" t="s">
        <v>13151</v>
      </c>
      <c r="D1899" s="31" t="s">
        <v>13097</v>
      </c>
      <c r="E1899" s="40" t="s">
        <v>9668</v>
      </c>
      <c r="F1899" s="38" t="s">
        <v>9167</v>
      </c>
      <c r="G1899" s="34" t="s">
        <v>9668</v>
      </c>
      <c r="H1899" s="34" t="s">
        <v>9668</v>
      </c>
      <c r="I1899" s="44" t="s">
        <v>13151</v>
      </c>
      <c r="J1899" s="36" t="s">
        <v>1425</v>
      </c>
    </row>
    <row r="1900" spans="1:10" x14ac:dyDescent="0.25">
      <c r="A1900" s="31" t="s">
        <v>1426</v>
      </c>
      <c r="B1900" s="31">
        <v>51.060099999999998</v>
      </c>
      <c r="C1900" s="32" t="s">
        <v>13152</v>
      </c>
      <c r="D1900" s="31" t="s">
        <v>13097</v>
      </c>
      <c r="E1900" s="40" t="s">
        <v>13153</v>
      </c>
      <c r="F1900" s="38" t="s">
        <v>9167</v>
      </c>
      <c r="G1900" s="34" t="s">
        <v>9668</v>
      </c>
      <c r="I1900" s="44" t="s">
        <v>13151</v>
      </c>
      <c r="J1900" s="36" t="s">
        <v>1426</v>
      </c>
    </row>
    <row r="1901" spans="1:10" x14ac:dyDescent="0.25">
      <c r="A1901" s="31" t="s">
        <v>1427</v>
      </c>
      <c r="B1901" s="31">
        <v>51.060200000000002</v>
      </c>
      <c r="C1901" s="32" t="s">
        <v>13154</v>
      </c>
      <c r="D1901" s="31" t="s">
        <v>13097</v>
      </c>
      <c r="E1901" s="40" t="s">
        <v>13155</v>
      </c>
      <c r="F1901" s="38" t="s">
        <v>9167</v>
      </c>
      <c r="G1901" s="34" t="s">
        <v>9668</v>
      </c>
      <c r="I1901" s="44" t="s">
        <v>13151</v>
      </c>
      <c r="J1901" s="36" t="s">
        <v>1427</v>
      </c>
    </row>
    <row r="1902" spans="1:10" x14ac:dyDescent="0.25">
      <c r="A1902" s="31" t="s">
        <v>1428</v>
      </c>
      <c r="B1902" s="31">
        <v>51.060299999999998</v>
      </c>
      <c r="C1902" s="32" t="s">
        <v>13156</v>
      </c>
      <c r="D1902" s="31" t="s">
        <v>13097</v>
      </c>
      <c r="E1902" s="40" t="s">
        <v>13157</v>
      </c>
      <c r="F1902" s="38" t="s">
        <v>9167</v>
      </c>
      <c r="G1902" s="34" t="s">
        <v>9668</v>
      </c>
      <c r="I1902" s="44" t="s">
        <v>13151</v>
      </c>
      <c r="J1902" s="36" t="s">
        <v>1428</v>
      </c>
    </row>
    <row r="1903" spans="1:10" x14ac:dyDescent="0.25">
      <c r="A1903" s="31" t="s">
        <v>1429</v>
      </c>
      <c r="B1903" s="31">
        <v>51.069899999999997</v>
      </c>
      <c r="C1903" s="32" t="s">
        <v>13158</v>
      </c>
      <c r="D1903" s="31" t="s">
        <v>13097</v>
      </c>
      <c r="E1903" s="40" t="s">
        <v>13159</v>
      </c>
      <c r="F1903" s="38" t="s">
        <v>9167</v>
      </c>
      <c r="G1903" s="34" t="s">
        <v>9668</v>
      </c>
      <c r="I1903" s="44" t="s">
        <v>13151</v>
      </c>
      <c r="J1903" s="36" t="s">
        <v>1429</v>
      </c>
    </row>
    <row r="1904" spans="1:10" x14ac:dyDescent="0.25">
      <c r="A1904" s="31" t="s">
        <v>1430</v>
      </c>
      <c r="B1904" s="31">
        <v>51.07</v>
      </c>
      <c r="C1904" s="32" t="s">
        <v>13160</v>
      </c>
      <c r="D1904" s="31" t="s">
        <v>13097</v>
      </c>
      <c r="E1904" s="40" t="s">
        <v>9669</v>
      </c>
      <c r="F1904" s="38" t="s">
        <v>9167</v>
      </c>
      <c r="G1904" s="34" t="s">
        <v>9669</v>
      </c>
      <c r="H1904" s="34" t="s">
        <v>9669</v>
      </c>
      <c r="I1904" s="44" t="s">
        <v>13160</v>
      </c>
      <c r="J1904" s="36" t="s">
        <v>1430</v>
      </c>
    </row>
    <row r="1905" spans="1:10" x14ac:dyDescent="0.25">
      <c r="A1905" s="31" t="s">
        <v>1431</v>
      </c>
      <c r="B1905" s="31">
        <v>51.070099999999996</v>
      </c>
      <c r="C1905" s="32" t="s">
        <v>13161</v>
      </c>
      <c r="D1905" s="31" t="s">
        <v>13097</v>
      </c>
      <c r="E1905" s="40" t="s">
        <v>13162</v>
      </c>
      <c r="F1905" s="38" t="s">
        <v>9167</v>
      </c>
      <c r="G1905" s="34" t="s">
        <v>9669</v>
      </c>
      <c r="I1905" s="44" t="s">
        <v>13160</v>
      </c>
      <c r="J1905" s="36" t="s">
        <v>1431</v>
      </c>
    </row>
    <row r="1906" spans="1:10" x14ac:dyDescent="0.25">
      <c r="A1906" s="31" t="s">
        <v>1432</v>
      </c>
      <c r="B1906" s="31">
        <v>51.0702</v>
      </c>
      <c r="C1906" s="32" t="s">
        <v>13163</v>
      </c>
      <c r="D1906" s="31" t="s">
        <v>13097</v>
      </c>
      <c r="E1906" s="40" t="s">
        <v>13164</v>
      </c>
      <c r="F1906" s="38" t="s">
        <v>9167</v>
      </c>
      <c r="G1906" s="34" t="s">
        <v>9669</v>
      </c>
      <c r="I1906" s="44" t="s">
        <v>13160</v>
      </c>
      <c r="J1906" s="36" t="s">
        <v>1432</v>
      </c>
    </row>
    <row r="1907" spans="1:10" x14ac:dyDescent="0.25">
      <c r="A1907" s="31" t="s">
        <v>1433</v>
      </c>
      <c r="B1907" s="31">
        <v>51.070300000000003</v>
      </c>
      <c r="C1907" s="32" t="s">
        <v>13165</v>
      </c>
      <c r="D1907" s="31" t="s">
        <v>13097</v>
      </c>
      <c r="E1907" s="40" t="s">
        <v>13166</v>
      </c>
      <c r="F1907" s="38" t="s">
        <v>9167</v>
      </c>
      <c r="G1907" s="34" t="s">
        <v>9669</v>
      </c>
      <c r="I1907" s="44" t="s">
        <v>13160</v>
      </c>
      <c r="J1907" s="36" t="s">
        <v>1433</v>
      </c>
    </row>
    <row r="1908" spans="1:10" x14ac:dyDescent="0.25">
      <c r="A1908" s="31" t="s">
        <v>1434</v>
      </c>
      <c r="B1908" s="31">
        <v>51.070399999999999</v>
      </c>
      <c r="C1908" s="32" t="s">
        <v>13167</v>
      </c>
      <c r="D1908" s="31" t="s">
        <v>13097</v>
      </c>
      <c r="E1908" s="40" t="s">
        <v>13168</v>
      </c>
      <c r="F1908" s="38" t="s">
        <v>9167</v>
      </c>
      <c r="G1908" s="34" t="s">
        <v>9669</v>
      </c>
      <c r="I1908" s="44" t="s">
        <v>13160</v>
      </c>
      <c r="J1908" s="36" t="s">
        <v>1434</v>
      </c>
    </row>
    <row r="1909" spans="1:10" x14ac:dyDescent="0.25">
      <c r="A1909" s="31" t="s">
        <v>1435</v>
      </c>
      <c r="B1909" s="31">
        <v>51.070500000000003</v>
      </c>
      <c r="C1909" s="32" t="s">
        <v>13169</v>
      </c>
      <c r="D1909" s="31" t="s">
        <v>13097</v>
      </c>
      <c r="E1909" s="40" t="s">
        <v>13170</v>
      </c>
      <c r="F1909" s="38" t="s">
        <v>9167</v>
      </c>
      <c r="G1909" s="34" t="s">
        <v>9669</v>
      </c>
      <c r="I1909" s="44" t="s">
        <v>13160</v>
      </c>
      <c r="J1909" s="36" t="s">
        <v>1435</v>
      </c>
    </row>
    <row r="1910" spans="1:10" x14ac:dyDescent="0.25">
      <c r="A1910" s="31" t="s">
        <v>1436</v>
      </c>
      <c r="B1910" s="31">
        <v>51.070599999999999</v>
      </c>
      <c r="C1910" s="32" t="s">
        <v>13171</v>
      </c>
      <c r="D1910" s="31" t="s">
        <v>13097</v>
      </c>
      <c r="E1910" s="40" t="s">
        <v>13172</v>
      </c>
      <c r="F1910" s="38" t="s">
        <v>9167</v>
      </c>
      <c r="G1910" s="34" t="s">
        <v>9669</v>
      </c>
      <c r="I1910" s="44" t="s">
        <v>13160</v>
      </c>
      <c r="J1910" s="36" t="s">
        <v>1436</v>
      </c>
    </row>
    <row r="1911" spans="1:10" x14ac:dyDescent="0.25">
      <c r="A1911" s="31" t="s">
        <v>1437</v>
      </c>
      <c r="B1911" s="31">
        <v>51.070700000000002</v>
      </c>
      <c r="C1911" s="32" t="s">
        <v>13173</v>
      </c>
      <c r="D1911" s="31" t="s">
        <v>13097</v>
      </c>
      <c r="E1911" s="40" t="s">
        <v>13174</v>
      </c>
      <c r="F1911" s="38" t="s">
        <v>9167</v>
      </c>
      <c r="G1911" s="34" t="s">
        <v>9669</v>
      </c>
      <c r="I1911" s="44" t="s">
        <v>13160</v>
      </c>
      <c r="J1911" s="36" t="s">
        <v>1437</v>
      </c>
    </row>
    <row r="1912" spans="1:10" x14ac:dyDescent="0.25">
      <c r="A1912" s="31" t="s">
        <v>1438</v>
      </c>
      <c r="B1912" s="31">
        <v>51.070799999999998</v>
      </c>
      <c r="C1912" s="32" t="s">
        <v>13175</v>
      </c>
      <c r="D1912" s="31" t="s">
        <v>13097</v>
      </c>
      <c r="E1912" s="40" t="s">
        <v>13176</v>
      </c>
      <c r="F1912" s="38" t="s">
        <v>9167</v>
      </c>
      <c r="G1912" s="34" t="s">
        <v>9669</v>
      </c>
      <c r="I1912" s="44" t="s">
        <v>13160</v>
      </c>
      <c r="J1912" s="36" t="s">
        <v>1438</v>
      </c>
    </row>
    <row r="1913" spans="1:10" x14ac:dyDescent="0.25">
      <c r="A1913" s="31" t="s">
        <v>1439</v>
      </c>
      <c r="B1913" s="31">
        <v>51.070900000000002</v>
      </c>
      <c r="C1913" s="32" t="s">
        <v>13177</v>
      </c>
      <c r="D1913" s="31" t="s">
        <v>13097</v>
      </c>
      <c r="E1913" s="40" t="s">
        <v>13178</v>
      </c>
      <c r="F1913" s="38" t="s">
        <v>9167</v>
      </c>
      <c r="G1913" s="34" t="s">
        <v>9669</v>
      </c>
      <c r="I1913" s="44" t="s">
        <v>13160</v>
      </c>
      <c r="J1913" s="36" t="s">
        <v>1439</v>
      </c>
    </row>
    <row r="1914" spans="1:10" x14ac:dyDescent="0.25">
      <c r="A1914" s="31" t="s">
        <v>1440</v>
      </c>
      <c r="B1914" s="31">
        <v>51.070999999999998</v>
      </c>
      <c r="C1914" s="32" t="s">
        <v>13179</v>
      </c>
      <c r="D1914" s="31" t="s">
        <v>13097</v>
      </c>
      <c r="E1914" s="40" t="s">
        <v>13180</v>
      </c>
      <c r="F1914" s="38" t="s">
        <v>9167</v>
      </c>
      <c r="G1914" s="34" t="s">
        <v>9669</v>
      </c>
      <c r="I1914" s="44" t="s">
        <v>13160</v>
      </c>
      <c r="J1914" s="36" t="s">
        <v>1440</v>
      </c>
    </row>
    <row r="1915" spans="1:10" x14ac:dyDescent="0.25">
      <c r="A1915" s="31" t="s">
        <v>1441</v>
      </c>
      <c r="B1915" s="31">
        <v>51.071100000000001</v>
      </c>
      <c r="C1915" s="32" t="s">
        <v>13181</v>
      </c>
      <c r="D1915" s="31" t="s">
        <v>13097</v>
      </c>
      <c r="E1915" s="40" t="s">
        <v>13182</v>
      </c>
      <c r="F1915" s="38" t="s">
        <v>9167</v>
      </c>
      <c r="G1915" s="34" t="s">
        <v>9669</v>
      </c>
      <c r="I1915" s="44" t="s">
        <v>13160</v>
      </c>
      <c r="J1915" s="36" t="s">
        <v>1441</v>
      </c>
    </row>
    <row r="1916" spans="1:10" x14ac:dyDescent="0.25">
      <c r="A1916" s="31" t="s">
        <v>1442</v>
      </c>
      <c r="B1916" s="31">
        <v>51.071199999999997</v>
      </c>
      <c r="C1916" s="32" t="s">
        <v>13183</v>
      </c>
      <c r="D1916" s="31" t="s">
        <v>13097</v>
      </c>
      <c r="E1916" s="40" t="s">
        <v>13184</v>
      </c>
      <c r="F1916" s="38" t="s">
        <v>9167</v>
      </c>
      <c r="G1916" s="34" t="s">
        <v>9669</v>
      </c>
      <c r="I1916" s="44" t="s">
        <v>13160</v>
      </c>
      <c r="J1916" s="36" t="s">
        <v>1442</v>
      </c>
    </row>
    <row r="1917" spans="1:10" x14ac:dyDescent="0.25">
      <c r="A1917" s="31" t="s">
        <v>1443</v>
      </c>
      <c r="B1917" s="31">
        <v>51.071300000000001</v>
      </c>
      <c r="C1917" s="32" t="s">
        <v>13185</v>
      </c>
      <c r="D1917" s="31" t="s">
        <v>13097</v>
      </c>
      <c r="E1917" s="40" t="s">
        <v>13186</v>
      </c>
      <c r="F1917" s="38" t="s">
        <v>9167</v>
      </c>
      <c r="G1917" s="34" t="s">
        <v>9669</v>
      </c>
      <c r="I1917" s="44" t="s">
        <v>13160</v>
      </c>
      <c r="J1917" s="36" t="s">
        <v>1443</v>
      </c>
    </row>
    <row r="1918" spans="1:10" x14ac:dyDescent="0.25">
      <c r="A1918" s="31" t="s">
        <v>1444</v>
      </c>
      <c r="B1918" s="31">
        <v>51.071399999999997</v>
      </c>
      <c r="C1918" s="32" t="s">
        <v>13187</v>
      </c>
      <c r="D1918" s="31" t="s">
        <v>13097</v>
      </c>
      <c r="E1918" s="40" t="s">
        <v>13188</v>
      </c>
      <c r="F1918" s="38" t="s">
        <v>9167</v>
      </c>
      <c r="G1918" s="34" t="s">
        <v>9669</v>
      </c>
      <c r="I1918" s="44" t="s">
        <v>13160</v>
      </c>
      <c r="J1918" s="36" t="s">
        <v>1444</v>
      </c>
    </row>
    <row r="1919" spans="1:10" x14ac:dyDescent="0.25">
      <c r="A1919" s="31" t="s">
        <v>1445</v>
      </c>
      <c r="B1919" s="31">
        <v>51.0715</v>
      </c>
      <c r="C1919" s="32" t="s">
        <v>13189</v>
      </c>
      <c r="D1919" s="31" t="s">
        <v>13097</v>
      </c>
      <c r="E1919" s="40" t="s">
        <v>13190</v>
      </c>
      <c r="F1919" s="38" t="s">
        <v>9167</v>
      </c>
      <c r="G1919" s="34" t="s">
        <v>9669</v>
      </c>
      <c r="I1919" s="44" t="s">
        <v>13160</v>
      </c>
      <c r="J1919" s="36" t="s">
        <v>1445</v>
      </c>
    </row>
    <row r="1920" spans="1:10" x14ac:dyDescent="0.25">
      <c r="A1920" s="31" t="s">
        <v>1446</v>
      </c>
      <c r="B1920" s="31">
        <v>51.071599999999997</v>
      </c>
      <c r="C1920" s="32" t="s">
        <v>13191</v>
      </c>
      <c r="D1920" s="31" t="s">
        <v>13097</v>
      </c>
      <c r="E1920" s="40" t="s">
        <v>13192</v>
      </c>
      <c r="F1920" s="38" t="s">
        <v>9167</v>
      </c>
      <c r="G1920" s="34" t="s">
        <v>9669</v>
      </c>
      <c r="I1920" s="44" t="s">
        <v>13160</v>
      </c>
      <c r="J1920" s="36" t="s">
        <v>1446</v>
      </c>
    </row>
    <row r="1921" spans="1:10" x14ac:dyDescent="0.25">
      <c r="A1921" s="31" t="s">
        <v>1447</v>
      </c>
      <c r="B1921" s="31">
        <v>51.0717</v>
      </c>
      <c r="C1921" s="32" t="s">
        <v>13193</v>
      </c>
      <c r="D1921" s="31" t="s">
        <v>13097</v>
      </c>
      <c r="E1921" s="40" t="s">
        <v>13194</v>
      </c>
      <c r="F1921" s="38" t="s">
        <v>9167</v>
      </c>
      <c r="G1921" s="34" t="s">
        <v>9669</v>
      </c>
      <c r="I1921" s="44" t="s">
        <v>13160</v>
      </c>
      <c r="J1921" s="36" t="s">
        <v>1447</v>
      </c>
    </row>
    <row r="1922" spans="1:10" x14ac:dyDescent="0.25">
      <c r="A1922" s="31" t="s">
        <v>1448</v>
      </c>
      <c r="B1922" s="31">
        <v>51.071800000000003</v>
      </c>
      <c r="C1922" s="32" t="s">
        <v>13195</v>
      </c>
      <c r="D1922" s="31" t="s">
        <v>13097</v>
      </c>
      <c r="E1922" s="40" t="s">
        <v>13196</v>
      </c>
      <c r="F1922" s="38" t="s">
        <v>9167</v>
      </c>
      <c r="G1922" s="34" t="s">
        <v>9669</v>
      </c>
      <c r="I1922" s="44" t="s">
        <v>13160</v>
      </c>
      <c r="J1922" s="36" t="s">
        <v>1448</v>
      </c>
    </row>
    <row r="1923" spans="1:10" x14ac:dyDescent="0.25">
      <c r="A1923" s="31" t="s">
        <v>1449</v>
      </c>
      <c r="B1923" s="31">
        <v>51.071899999999999</v>
      </c>
      <c r="C1923" s="32" t="s">
        <v>13197</v>
      </c>
      <c r="D1923" s="31" t="s">
        <v>13097</v>
      </c>
      <c r="E1923" s="40" t="s">
        <v>13198</v>
      </c>
      <c r="F1923" s="38" t="s">
        <v>9167</v>
      </c>
      <c r="G1923" s="34" t="s">
        <v>9669</v>
      </c>
      <c r="I1923" s="44" t="s">
        <v>13160</v>
      </c>
      <c r="J1923" s="36" t="s">
        <v>1449</v>
      </c>
    </row>
    <row r="1924" spans="1:10" x14ac:dyDescent="0.25">
      <c r="A1924" s="31" t="s">
        <v>2113</v>
      </c>
      <c r="B1924" s="31">
        <v>51.072000000000003</v>
      </c>
      <c r="C1924" s="32" t="s">
        <v>13199</v>
      </c>
      <c r="D1924" s="31" t="s">
        <v>13097</v>
      </c>
      <c r="E1924" s="40" t="s">
        <v>13200</v>
      </c>
      <c r="F1924" s="38" t="s">
        <v>9167</v>
      </c>
      <c r="G1924" s="34" t="s">
        <v>9669</v>
      </c>
      <c r="I1924" s="44" t="s">
        <v>13160</v>
      </c>
      <c r="J1924" s="36" t="s">
        <v>2113</v>
      </c>
    </row>
    <row r="1925" spans="1:10" x14ac:dyDescent="0.25">
      <c r="A1925" s="31" t="s">
        <v>2114</v>
      </c>
      <c r="B1925" s="31">
        <v>51.072099999999999</v>
      </c>
      <c r="C1925" s="32" t="s">
        <v>13201</v>
      </c>
      <c r="D1925" s="31" t="s">
        <v>13097</v>
      </c>
      <c r="E1925" s="40" t="s">
        <v>13202</v>
      </c>
      <c r="F1925" s="38" t="s">
        <v>9167</v>
      </c>
      <c r="G1925" s="34" t="s">
        <v>9669</v>
      </c>
      <c r="I1925" s="44" t="s">
        <v>13160</v>
      </c>
      <c r="J1925" s="36" t="s">
        <v>2114</v>
      </c>
    </row>
    <row r="1926" spans="1:10" x14ac:dyDescent="0.25">
      <c r="A1926" s="31" t="s">
        <v>2115</v>
      </c>
      <c r="B1926" s="31">
        <v>51.072200000000002</v>
      </c>
      <c r="C1926" s="32" t="s">
        <v>13203</v>
      </c>
      <c r="D1926" s="31" t="s">
        <v>13097</v>
      </c>
      <c r="E1926" s="40" t="s">
        <v>13204</v>
      </c>
      <c r="F1926" s="38" t="s">
        <v>9167</v>
      </c>
      <c r="G1926" s="34" t="s">
        <v>9669</v>
      </c>
      <c r="I1926" s="44" t="s">
        <v>13160</v>
      </c>
      <c r="J1926" s="36" t="s">
        <v>2115</v>
      </c>
    </row>
    <row r="1927" spans="1:10" x14ac:dyDescent="0.25">
      <c r="A1927" s="31" t="s">
        <v>2116</v>
      </c>
      <c r="B1927" s="31">
        <v>51.072299999999998</v>
      </c>
      <c r="C1927" s="32" t="s">
        <v>13205</v>
      </c>
      <c r="D1927" s="31" t="s">
        <v>13097</v>
      </c>
      <c r="E1927" s="40" t="s">
        <v>13206</v>
      </c>
      <c r="F1927" s="38" t="s">
        <v>9167</v>
      </c>
      <c r="G1927" s="34" t="s">
        <v>9669</v>
      </c>
      <c r="I1927" s="44" t="s">
        <v>13160</v>
      </c>
      <c r="J1927" s="36" t="s">
        <v>2116</v>
      </c>
    </row>
    <row r="1928" spans="1:10" x14ac:dyDescent="0.25">
      <c r="A1928" s="31" t="s">
        <v>1450</v>
      </c>
      <c r="B1928" s="31">
        <v>51.079900000000002</v>
      </c>
      <c r="C1928" s="32" t="s">
        <v>13207</v>
      </c>
      <c r="D1928" s="31" t="s">
        <v>13097</v>
      </c>
      <c r="E1928" s="40" t="s">
        <v>13208</v>
      </c>
      <c r="F1928" s="38" t="s">
        <v>9167</v>
      </c>
      <c r="G1928" s="34" t="s">
        <v>9669</v>
      </c>
      <c r="I1928" s="44" t="s">
        <v>13160</v>
      </c>
      <c r="J1928" s="36" t="s">
        <v>1450</v>
      </c>
    </row>
    <row r="1929" spans="1:10" x14ac:dyDescent="0.25">
      <c r="A1929" s="31" t="s">
        <v>1451</v>
      </c>
      <c r="B1929" s="31">
        <v>51.08</v>
      </c>
      <c r="C1929" s="32" t="s">
        <v>13209</v>
      </c>
      <c r="D1929" s="31" t="s">
        <v>13097</v>
      </c>
      <c r="E1929" s="40" t="s">
        <v>9670</v>
      </c>
      <c r="F1929" s="38" t="s">
        <v>9167</v>
      </c>
      <c r="G1929" s="34" t="s">
        <v>9670</v>
      </c>
      <c r="H1929" s="34" t="s">
        <v>9670</v>
      </c>
      <c r="I1929" s="44" t="s">
        <v>13209</v>
      </c>
      <c r="J1929" s="36" t="s">
        <v>1451</v>
      </c>
    </row>
    <row r="1930" spans="1:10" x14ac:dyDescent="0.25">
      <c r="A1930" s="31" t="s">
        <v>1452</v>
      </c>
      <c r="B1930" s="31">
        <v>51.080100000000002</v>
      </c>
      <c r="C1930" s="32" t="s">
        <v>13210</v>
      </c>
      <c r="D1930" s="31" t="s">
        <v>13097</v>
      </c>
      <c r="E1930" s="40" t="s">
        <v>13211</v>
      </c>
      <c r="F1930" s="38" t="s">
        <v>9167</v>
      </c>
      <c r="G1930" s="34" t="s">
        <v>9670</v>
      </c>
      <c r="I1930" s="44" t="s">
        <v>13209</v>
      </c>
      <c r="J1930" s="36" t="s">
        <v>1452</v>
      </c>
    </row>
    <row r="1931" spans="1:10" x14ac:dyDescent="0.25">
      <c r="A1931" s="31" t="s">
        <v>1453</v>
      </c>
      <c r="B1931" s="31">
        <v>51.080199999999998</v>
      </c>
      <c r="C1931" s="32" t="s">
        <v>13212</v>
      </c>
      <c r="D1931" s="31" t="s">
        <v>13097</v>
      </c>
      <c r="E1931" s="40" t="s">
        <v>13213</v>
      </c>
      <c r="F1931" s="38" t="s">
        <v>9167</v>
      </c>
      <c r="G1931" s="34" t="s">
        <v>9670</v>
      </c>
      <c r="I1931" s="44" t="s">
        <v>13209</v>
      </c>
      <c r="J1931" s="36" t="s">
        <v>1453</v>
      </c>
    </row>
    <row r="1932" spans="1:10" x14ac:dyDescent="0.25">
      <c r="A1932" s="31" t="s">
        <v>1454</v>
      </c>
      <c r="B1932" s="31">
        <v>51.080300000000001</v>
      </c>
      <c r="C1932" s="32" t="s">
        <v>13214</v>
      </c>
      <c r="D1932" s="31" t="s">
        <v>13097</v>
      </c>
      <c r="E1932" s="40" t="s">
        <v>13215</v>
      </c>
      <c r="F1932" s="38" t="s">
        <v>9167</v>
      </c>
      <c r="G1932" s="34" t="s">
        <v>9670</v>
      </c>
      <c r="I1932" s="44" t="s">
        <v>13209</v>
      </c>
      <c r="J1932" s="36" t="s">
        <v>1454</v>
      </c>
    </row>
    <row r="1933" spans="1:10" x14ac:dyDescent="0.25">
      <c r="A1933" s="31" t="s">
        <v>1455</v>
      </c>
      <c r="B1933" s="31">
        <v>51.080500000000001</v>
      </c>
      <c r="C1933" s="32" t="s">
        <v>13216</v>
      </c>
      <c r="D1933" s="31" t="s">
        <v>13097</v>
      </c>
      <c r="E1933" s="40" t="s">
        <v>13217</v>
      </c>
      <c r="F1933" s="38" t="s">
        <v>9167</v>
      </c>
      <c r="G1933" s="34" t="s">
        <v>9670</v>
      </c>
      <c r="I1933" s="44" t="s">
        <v>13209</v>
      </c>
      <c r="J1933" s="36" t="s">
        <v>1455</v>
      </c>
    </row>
    <row r="1934" spans="1:10" x14ac:dyDescent="0.25">
      <c r="A1934" s="31" t="s">
        <v>2117</v>
      </c>
      <c r="B1934" s="31">
        <v>51.080599999999997</v>
      </c>
      <c r="C1934" s="32" t="s">
        <v>13218</v>
      </c>
      <c r="D1934" s="31" t="s">
        <v>13097</v>
      </c>
      <c r="E1934" s="40" t="s">
        <v>13219</v>
      </c>
      <c r="F1934" s="38" t="s">
        <v>9167</v>
      </c>
      <c r="G1934" s="34" t="s">
        <v>9670</v>
      </c>
      <c r="I1934" s="44" t="s">
        <v>13209</v>
      </c>
      <c r="J1934" s="36" t="s">
        <v>2117</v>
      </c>
    </row>
    <row r="1935" spans="1:10" x14ac:dyDescent="0.25">
      <c r="A1935" s="31" t="s">
        <v>1456</v>
      </c>
      <c r="B1935" s="31">
        <v>51.080800000000004</v>
      </c>
      <c r="C1935" s="32" t="s">
        <v>13220</v>
      </c>
      <c r="D1935" s="31" t="s">
        <v>13097</v>
      </c>
      <c r="E1935" s="40" t="s">
        <v>13221</v>
      </c>
      <c r="F1935" s="38" t="s">
        <v>9167</v>
      </c>
      <c r="G1935" s="34" t="s">
        <v>9670</v>
      </c>
      <c r="I1935" s="44" t="s">
        <v>13209</v>
      </c>
      <c r="J1935" s="36" t="s">
        <v>1456</v>
      </c>
    </row>
    <row r="1936" spans="1:10" x14ac:dyDescent="0.25">
      <c r="A1936" s="31" t="s">
        <v>1457</v>
      </c>
      <c r="B1936" s="31">
        <v>51.0809</v>
      </c>
      <c r="C1936" s="32" t="s">
        <v>13222</v>
      </c>
      <c r="D1936" s="31" t="s">
        <v>13097</v>
      </c>
      <c r="E1936" s="40" t="s">
        <v>13223</v>
      </c>
      <c r="F1936" s="38" t="s">
        <v>9167</v>
      </c>
      <c r="G1936" s="34" t="s">
        <v>9670</v>
      </c>
      <c r="I1936" s="44" t="s">
        <v>13209</v>
      </c>
      <c r="J1936" s="36" t="s">
        <v>1457</v>
      </c>
    </row>
    <row r="1937" spans="1:10" x14ac:dyDescent="0.25">
      <c r="A1937" s="31" t="s">
        <v>1458</v>
      </c>
      <c r="B1937" s="31">
        <v>51.081000000000003</v>
      </c>
      <c r="C1937" s="32" t="s">
        <v>13224</v>
      </c>
      <c r="D1937" s="31" t="s">
        <v>13097</v>
      </c>
      <c r="E1937" s="40" t="s">
        <v>13225</v>
      </c>
      <c r="F1937" s="38" t="s">
        <v>9167</v>
      </c>
      <c r="G1937" s="34" t="s">
        <v>9670</v>
      </c>
      <c r="I1937" s="44" t="s">
        <v>13209</v>
      </c>
      <c r="J1937" s="36" t="s">
        <v>1458</v>
      </c>
    </row>
    <row r="1938" spans="1:10" x14ac:dyDescent="0.25">
      <c r="A1938" s="31" t="s">
        <v>1459</v>
      </c>
      <c r="B1938" s="31">
        <v>51.081099999999999</v>
      </c>
      <c r="C1938" s="32" t="s">
        <v>13226</v>
      </c>
      <c r="D1938" s="31" t="s">
        <v>13097</v>
      </c>
      <c r="E1938" s="40" t="s">
        <v>13227</v>
      </c>
      <c r="F1938" s="38" t="s">
        <v>9167</v>
      </c>
      <c r="G1938" s="34" t="s">
        <v>9670</v>
      </c>
      <c r="I1938" s="44" t="s">
        <v>13209</v>
      </c>
      <c r="J1938" s="36" t="s">
        <v>1459</v>
      </c>
    </row>
    <row r="1939" spans="1:10" x14ac:dyDescent="0.25">
      <c r="A1939" s="31" t="s">
        <v>1460</v>
      </c>
      <c r="B1939" s="31">
        <v>51.081200000000003</v>
      </c>
      <c r="C1939" s="32" t="s">
        <v>13228</v>
      </c>
      <c r="D1939" s="31" t="s">
        <v>13097</v>
      </c>
      <c r="E1939" s="40" t="s">
        <v>13229</v>
      </c>
      <c r="F1939" s="38" t="s">
        <v>9167</v>
      </c>
      <c r="G1939" s="34" t="s">
        <v>9670</v>
      </c>
      <c r="I1939" s="44" t="s">
        <v>13209</v>
      </c>
      <c r="J1939" s="36" t="s">
        <v>1460</v>
      </c>
    </row>
    <row r="1940" spans="1:10" x14ac:dyDescent="0.25">
      <c r="A1940" s="31" t="s">
        <v>2118</v>
      </c>
      <c r="B1940" s="31">
        <v>51.081299999999999</v>
      </c>
      <c r="C1940" s="32" t="s">
        <v>13230</v>
      </c>
      <c r="D1940" s="31" t="s">
        <v>13097</v>
      </c>
      <c r="E1940" s="40" t="s">
        <v>13231</v>
      </c>
      <c r="F1940" s="38" t="s">
        <v>9167</v>
      </c>
      <c r="G1940" s="34" t="s">
        <v>9670</v>
      </c>
      <c r="I1940" s="44" t="s">
        <v>13209</v>
      </c>
      <c r="J1940" s="36" t="s">
        <v>2118</v>
      </c>
    </row>
    <row r="1941" spans="1:10" x14ac:dyDescent="0.25">
      <c r="A1941" s="31" t="s">
        <v>1461</v>
      </c>
      <c r="B1941" s="31">
        <v>51.081400000000002</v>
      </c>
      <c r="C1941" s="32" t="s">
        <v>13232</v>
      </c>
      <c r="D1941" s="31" t="s">
        <v>13097</v>
      </c>
      <c r="E1941" s="40" t="s">
        <v>13233</v>
      </c>
      <c r="F1941" s="38" t="s">
        <v>9167</v>
      </c>
      <c r="G1941" s="34" t="s">
        <v>9670</v>
      </c>
      <c r="I1941" s="44" t="s">
        <v>13209</v>
      </c>
      <c r="J1941" s="36" t="s">
        <v>1461</v>
      </c>
    </row>
    <row r="1942" spans="1:10" x14ac:dyDescent="0.25">
      <c r="A1942" s="31" t="s">
        <v>1462</v>
      </c>
      <c r="B1942" s="31">
        <v>51.081499999999998</v>
      </c>
      <c r="C1942" s="32" t="s">
        <v>13234</v>
      </c>
      <c r="D1942" s="31" t="s">
        <v>13097</v>
      </c>
      <c r="E1942" s="40" t="s">
        <v>13235</v>
      </c>
      <c r="F1942" s="38" t="s">
        <v>9167</v>
      </c>
      <c r="G1942" s="34" t="s">
        <v>9670</v>
      </c>
      <c r="I1942" s="44" t="s">
        <v>13209</v>
      </c>
      <c r="J1942" s="36" t="s">
        <v>1462</v>
      </c>
    </row>
    <row r="1943" spans="1:10" x14ac:dyDescent="0.25">
      <c r="A1943" s="31" t="s">
        <v>1463</v>
      </c>
      <c r="B1943" s="31">
        <v>51.081600000000002</v>
      </c>
      <c r="C1943" s="32" t="s">
        <v>13236</v>
      </c>
      <c r="D1943" s="31" t="s">
        <v>13097</v>
      </c>
      <c r="E1943" s="40" t="s">
        <v>13237</v>
      </c>
      <c r="F1943" s="38" t="s">
        <v>9167</v>
      </c>
      <c r="G1943" s="34" t="s">
        <v>9670</v>
      </c>
      <c r="I1943" s="44" t="s">
        <v>13209</v>
      </c>
      <c r="J1943" s="36" t="s">
        <v>1463</v>
      </c>
    </row>
    <row r="1944" spans="1:10" x14ac:dyDescent="0.25">
      <c r="A1944" s="31" t="s">
        <v>1793</v>
      </c>
      <c r="B1944" s="31">
        <v>51.081699999999998</v>
      </c>
      <c r="C1944" s="32" t="s">
        <v>13238</v>
      </c>
      <c r="D1944" s="31" t="s">
        <v>13097</v>
      </c>
      <c r="E1944" s="40" t="s">
        <v>13239</v>
      </c>
      <c r="F1944" s="38" t="s">
        <v>9167</v>
      </c>
      <c r="G1944" s="34" t="s">
        <v>9670</v>
      </c>
      <c r="I1944" s="44" t="s">
        <v>13209</v>
      </c>
      <c r="J1944" s="36" t="s">
        <v>1793</v>
      </c>
    </row>
    <row r="1945" spans="1:10" x14ac:dyDescent="0.25">
      <c r="A1945" s="31" t="s">
        <v>1464</v>
      </c>
      <c r="B1945" s="31">
        <v>51.0899</v>
      </c>
      <c r="C1945" s="32" t="s">
        <v>13240</v>
      </c>
      <c r="D1945" s="31" t="s">
        <v>13097</v>
      </c>
      <c r="E1945" s="40" t="s">
        <v>13241</v>
      </c>
      <c r="F1945" s="38" t="s">
        <v>9167</v>
      </c>
      <c r="G1945" s="34" t="s">
        <v>9670</v>
      </c>
      <c r="I1945" s="44" t="s">
        <v>13209</v>
      </c>
      <c r="J1945" s="36" t="s">
        <v>1464</v>
      </c>
    </row>
    <row r="1946" spans="1:10" x14ac:dyDescent="0.25">
      <c r="A1946" s="31" t="s">
        <v>1465</v>
      </c>
      <c r="B1946" s="31">
        <v>51.09</v>
      </c>
      <c r="C1946" s="32" t="s">
        <v>13242</v>
      </c>
      <c r="D1946" s="31" t="s">
        <v>13097</v>
      </c>
      <c r="E1946" s="40" t="s">
        <v>9671</v>
      </c>
      <c r="F1946" s="38" t="s">
        <v>9167</v>
      </c>
      <c r="G1946" s="34" t="s">
        <v>9671</v>
      </c>
      <c r="H1946" s="34" t="s">
        <v>9671</v>
      </c>
      <c r="I1946" s="44" t="s">
        <v>13242</v>
      </c>
      <c r="J1946" s="36" t="s">
        <v>1465</v>
      </c>
    </row>
    <row r="1947" spans="1:10" x14ac:dyDescent="0.25">
      <c r="A1947" s="31" t="s">
        <v>1466</v>
      </c>
      <c r="B1947" s="31">
        <v>51.0901</v>
      </c>
      <c r="C1947" s="32" t="s">
        <v>13243</v>
      </c>
      <c r="D1947" s="31" t="s">
        <v>13097</v>
      </c>
      <c r="E1947" s="40" t="s">
        <v>13244</v>
      </c>
      <c r="F1947" s="38" t="s">
        <v>9167</v>
      </c>
      <c r="G1947" s="34" t="s">
        <v>9671</v>
      </c>
      <c r="I1947" s="44" t="s">
        <v>13242</v>
      </c>
      <c r="J1947" s="36" t="s">
        <v>1466</v>
      </c>
    </row>
    <row r="1948" spans="1:10" x14ac:dyDescent="0.25">
      <c r="A1948" s="31" t="s">
        <v>1467</v>
      </c>
      <c r="B1948" s="31">
        <v>51.090200000000003</v>
      </c>
      <c r="C1948" s="32" t="s">
        <v>13245</v>
      </c>
      <c r="D1948" s="31" t="s">
        <v>13097</v>
      </c>
      <c r="E1948" s="40" t="s">
        <v>13246</v>
      </c>
      <c r="F1948" s="38" t="s">
        <v>9167</v>
      </c>
      <c r="G1948" s="34" t="s">
        <v>9671</v>
      </c>
      <c r="I1948" s="44" t="s">
        <v>13242</v>
      </c>
      <c r="J1948" s="36" t="s">
        <v>1467</v>
      </c>
    </row>
    <row r="1949" spans="1:10" x14ac:dyDescent="0.25">
      <c r="A1949" s="31" t="s">
        <v>1468</v>
      </c>
      <c r="B1949" s="31">
        <v>51.090299999999999</v>
      </c>
      <c r="C1949" s="32" t="s">
        <v>13247</v>
      </c>
      <c r="D1949" s="31" t="s">
        <v>13097</v>
      </c>
      <c r="E1949" s="40" t="s">
        <v>13248</v>
      </c>
      <c r="F1949" s="38" t="s">
        <v>9167</v>
      </c>
      <c r="G1949" s="34" t="s">
        <v>9671</v>
      </c>
      <c r="I1949" s="44" t="s">
        <v>13242</v>
      </c>
      <c r="J1949" s="36" t="s">
        <v>1468</v>
      </c>
    </row>
    <row r="1950" spans="1:10" x14ac:dyDescent="0.25">
      <c r="A1950" s="31" t="s">
        <v>1469</v>
      </c>
      <c r="B1950" s="31">
        <v>51.090400000000002</v>
      </c>
      <c r="C1950" s="32" t="s">
        <v>13249</v>
      </c>
      <c r="D1950" s="31" t="s">
        <v>13097</v>
      </c>
      <c r="E1950" s="40" t="s">
        <v>13250</v>
      </c>
      <c r="F1950" s="38" t="s">
        <v>9167</v>
      </c>
      <c r="G1950" s="34" t="s">
        <v>9671</v>
      </c>
      <c r="I1950" s="44" t="s">
        <v>13242</v>
      </c>
      <c r="J1950" s="36" t="s">
        <v>1469</v>
      </c>
    </row>
    <row r="1951" spans="1:10" x14ac:dyDescent="0.25">
      <c r="A1951" s="31" t="s">
        <v>1470</v>
      </c>
      <c r="B1951" s="31">
        <v>51.090499999999999</v>
      </c>
      <c r="C1951" s="32" t="s">
        <v>13251</v>
      </c>
      <c r="D1951" s="31" t="s">
        <v>13097</v>
      </c>
      <c r="E1951" s="40" t="s">
        <v>13252</v>
      </c>
      <c r="F1951" s="38" t="s">
        <v>9167</v>
      </c>
      <c r="G1951" s="34" t="s">
        <v>9671</v>
      </c>
      <c r="I1951" s="44" t="s">
        <v>13242</v>
      </c>
      <c r="J1951" s="36" t="s">
        <v>1470</v>
      </c>
    </row>
    <row r="1952" spans="1:10" x14ac:dyDescent="0.25">
      <c r="A1952" s="31" t="s">
        <v>1471</v>
      </c>
      <c r="B1952" s="31">
        <v>51.090600000000002</v>
      </c>
      <c r="C1952" s="32" t="s">
        <v>13253</v>
      </c>
      <c r="D1952" s="31" t="s">
        <v>13097</v>
      </c>
      <c r="E1952" s="40" t="s">
        <v>13254</v>
      </c>
      <c r="F1952" s="38" t="s">
        <v>9167</v>
      </c>
      <c r="G1952" s="34" t="s">
        <v>9671</v>
      </c>
      <c r="I1952" s="44" t="s">
        <v>13242</v>
      </c>
      <c r="J1952" s="36" t="s">
        <v>1471</v>
      </c>
    </row>
    <row r="1953" spans="1:10" x14ac:dyDescent="0.25">
      <c r="A1953" s="31" t="s">
        <v>1472</v>
      </c>
      <c r="B1953" s="31">
        <v>51.090699999999998</v>
      </c>
      <c r="C1953" s="32" t="s">
        <v>13255</v>
      </c>
      <c r="D1953" s="31" t="s">
        <v>13097</v>
      </c>
      <c r="E1953" s="40" t="s">
        <v>13256</v>
      </c>
      <c r="F1953" s="38" t="s">
        <v>9167</v>
      </c>
      <c r="G1953" s="34" t="s">
        <v>9671</v>
      </c>
      <c r="I1953" s="44" t="s">
        <v>13242</v>
      </c>
      <c r="J1953" s="36" t="s">
        <v>1472</v>
      </c>
    </row>
    <row r="1954" spans="1:10" x14ac:dyDescent="0.25">
      <c r="A1954" s="31" t="s">
        <v>1473</v>
      </c>
      <c r="B1954" s="31">
        <v>51.090800000000002</v>
      </c>
      <c r="C1954" s="32" t="s">
        <v>13257</v>
      </c>
      <c r="D1954" s="31" t="s">
        <v>13097</v>
      </c>
      <c r="E1954" s="40" t="s">
        <v>13258</v>
      </c>
      <c r="F1954" s="38" t="s">
        <v>9167</v>
      </c>
      <c r="G1954" s="34" t="s">
        <v>9671</v>
      </c>
      <c r="I1954" s="44" t="s">
        <v>13242</v>
      </c>
      <c r="J1954" s="36" t="s">
        <v>1473</v>
      </c>
    </row>
    <row r="1955" spans="1:10" x14ac:dyDescent="0.25">
      <c r="A1955" s="31" t="s">
        <v>1474</v>
      </c>
      <c r="B1955" s="31">
        <v>51.090899999999998</v>
      </c>
      <c r="C1955" s="32" t="s">
        <v>13259</v>
      </c>
      <c r="D1955" s="31" t="s">
        <v>13097</v>
      </c>
      <c r="E1955" s="40" t="s">
        <v>13260</v>
      </c>
      <c r="F1955" s="38" t="s">
        <v>9167</v>
      </c>
      <c r="G1955" s="34" t="s">
        <v>9671</v>
      </c>
      <c r="I1955" s="44" t="s">
        <v>13242</v>
      </c>
      <c r="J1955" s="36" t="s">
        <v>1474</v>
      </c>
    </row>
    <row r="1956" spans="1:10" x14ac:dyDescent="0.25">
      <c r="A1956" s="31" t="s">
        <v>1475</v>
      </c>
      <c r="B1956" s="31">
        <v>51.091000000000001</v>
      </c>
      <c r="C1956" s="32" t="s">
        <v>13261</v>
      </c>
      <c r="D1956" s="31" t="s">
        <v>13097</v>
      </c>
      <c r="E1956" s="40" t="s">
        <v>13262</v>
      </c>
      <c r="F1956" s="38" t="s">
        <v>9167</v>
      </c>
      <c r="G1956" s="34" t="s">
        <v>9671</v>
      </c>
      <c r="I1956" s="44" t="s">
        <v>13242</v>
      </c>
      <c r="J1956" s="36" t="s">
        <v>1475</v>
      </c>
    </row>
    <row r="1957" spans="1:10" x14ac:dyDescent="0.25">
      <c r="A1957" s="31" t="s">
        <v>1476</v>
      </c>
      <c r="B1957" s="31">
        <v>51.091099999999997</v>
      </c>
      <c r="C1957" s="32" t="s">
        <v>13263</v>
      </c>
      <c r="D1957" s="31" t="s">
        <v>13097</v>
      </c>
      <c r="E1957" s="40" t="s">
        <v>13264</v>
      </c>
      <c r="F1957" s="38" t="s">
        <v>9167</v>
      </c>
      <c r="G1957" s="34" t="s">
        <v>9671</v>
      </c>
      <c r="I1957" s="44" t="s">
        <v>13242</v>
      </c>
      <c r="J1957" s="36" t="s">
        <v>1476</v>
      </c>
    </row>
    <row r="1958" spans="1:10" x14ac:dyDescent="0.25">
      <c r="A1958" s="31" t="s">
        <v>2119</v>
      </c>
      <c r="B1958" s="31">
        <v>51.091200000000001</v>
      </c>
      <c r="C1958" s="32" t="s">
        <v>13265</v>
      </c>
      <c r="D1958" s="31" t="s">
        <v>13097</v>
      </c>
      <c r="E1958" s="40" t="s">
        <v>13266</v>
      </c>
      <c r="F1958" s="38" t="s">
        <v>9167</v>
      </c>
      <c r="G1958" s="34" t="s">
        <v>9671</v>
      </c>
      <c r="I1958" s="44" t="s">
        <v>13242</v>
      </c>
      <c r="J1958" s="36" t="s">
        <v>2119</v>
      </c>
    </row>
    <row r="1959" spans="1:10" x14ac:dyDescent="0.25">
      <c r="A1959" s="31" t="s">
        <v>1477</v>
      </c>
      <c r="B1959" s="31">
        <v>51.091299999999997</v>
      </c>
      <c r="C1959" s="32" t="s">
        <v>13267</v>
      </c>
      <c r="D1959" s="31" t="s">
        <v>13097</v>
      </c>
      <c r="E1959" s="40" t="s">
        <v>13268</v>
      </c>
      <c r="F1959" s="38" t="s">
        <v>9167</v>
      </c>
      <c r="G1959" s="34" t="s">
        <v>9671</v>
      </c>
      <c r="I1959" s="44" t="s">
        <v>13242</v>
      </c>
      <c r="J1959" s="36" t="s">
        <v>1477</v>
      </c>
    </row>
    <row r="1960" spans="1:10" x14ac:dyDescent="0.25">
      <c r="A1960" s="31" t="s">
        <v>1478</v>
      </c>
      <c r="B1960" s="31">
        <v>51.0914</v>
      </c>
      <c r="C1960" s="32" t="s">
        <v>13269</v>
      </c>
      <c r="D1960" s="31" t="s">
        <v>13097</v>
      </c>
      <c r="E1960" s="40" t="s">
        <v>13270</v>
      </c>
      <c r="F1960" s="38" t="s">
        <v>9167</v>
      </c>
      <c r="G1960" s="34" t="s">
        <v>9671</v>
      </c>
      <c r="I1960" s="44" t="s">
        <v>13242</v>
      </c>
      <c r="J1960" s="36" t="s">
        <v>1478</v>
      </c>
    </row>
    <row r="1961" spans="1:10" x14ac:dyDescent="0.25">
      <c r="A1961" s="31" t="s">
        <v>1479</v>
      </c>
      <c r="B1961" s="31">
        <v>51.091500000000003</v>
      </c>
      <c r="C1961" s="32" t="s">
        <v>13271</v>
      </c>
      <c r="D1961" s="31" t="s">
        <v>13097</v>
      </c>
      <c r="E1961" s="40" t="s">
        <v>13272</v>
      </c>
      <c r="F1961" s="38" t="s">
        <v>9167</v>
      </c>
      <c r="G1961" s="34" t="s">
        <v>9671</v>
      </c>
      <c r="I1961" s="44" t="s">
        <v>13242</v>
      </c>
      <c r="J1961" s="36" t="s">
        <v>1479</v>
      </c>
    </row>
    <row r="1962" spans="1:10" x14ac:dyDescent="0.25">
      <c r="A1962" s="31" t="s">
        <v>1480</v>
      </c>
      <c r="B1962" s="31">
        <v>51.0916</v>
      </c>
      <c r="C1962" s="32" t="s">
        <v>13273</v>
      </c>
      <c r="D1962" s="31" t="s">
        <v>13097</v>
      </c>
      <c r="E1962" s="40" t="s">
        <v>13274</v>
      </c>
      <c r="F1962" s="38" t="s">
        <v>9167</v>
      </c>
      <c r="G1962" s="34" t="s">
        <v>9671</v>
      </c>
      <c r="I1962" s="44" t="s">
        <v>13242</v>
      </c>
      <c r="J1962" s="36" t="s">
        <v>1480</v>
      </c>
    </row>
    <row r="1963" spans="1:10" x14ac:dyDescent="0.25">
      <c r="A1963" s="31" t="s">
        <v>1481</v>
      </c>
      <c r="B1963" s="31">
        <v>51.091700000000003</v>
      </c>
      <c r="C1963" s="32" t="s">
        <v>13275</v>
      </c>
      <c r="D1963" s="31" t="s">
        <v>13097</v>
      </c>
      <c r="E1963" s="40" t="s">
        <v>13276</v>
      </c>
      <c r="F1963" s="38" t="s">
        <v>9167</v>
      </c>
      <c r="G1963" s="34" t="s">
        <v>9671</v>
      </c>
      <c r="I1963" s="44" t="s">
        <v>13242</v>
      </c>
      <c r="J1963" s="36" t="s">
        <v>1481</v>
      </c>
    </row>
    <row r="1964" spans="1:10" x14ac:dyDescent="0.25">
      <c r="A1964" s="31" t="s">
        <v>1482</v>
      </c>
      <c r="B1964" s="31">
        <v>51.091799999999999</v>
      </c>
      <c r="C1964" s="32" t="s">
        <v>13277</v>
      </c>
      <c r="D1964" s="31" t="s">
        <v>13097</v>
      </c>
      <c r="E1964" s="40" t="s">
        <v>13278</v>
      </c>
      <c r="F1964" s="38" t="s">
        <v>9167</v>
      </c>
      <c r="G1964" s="34" t="s">
        <v>9671</v>
      </c>
      <c r="I1964" s="44" t="s">
        <v>13242</v>
      </c>
      <c r="J1964" s="36" t="s">
        <v>1482</v>
      </c>
    </row>
    <row r="1965" spans="1:10" x14ac:dyDescent="0.25">
      <c r="A1965" s="31" t="s">
        <v>2120</v>
      </c>
      <c r="B1965" s="31">
        <v>51.091900000000003</v>
      </c>
      <c r="C1965" s="32" t="s">
        <v>13279</v>
      </c>
      <c r="D1965" s="31" t="s">
        <v>13097</v>
      </c>
      <c r="E1965" s="40" t="s">
        <v>13280</v>
      </c>
      <c r="F1965" s="38" t="s">
        <v>9167</v>
      </c>
      <c r="G1965" s="34" t="s">
        <v>9671</v>
      </c>
      <c r="I1965" s="44" t="s">
        <v>13242</v>
      </c>
      <c r="J1965" s="36" t="s">
        <v>2120</v>
      </c>
    </row>
    <row r="1966" spans="1:10" x14ac:dyDescent="0.25">
      <c r="A1966" s="31" t="s">
        <v>1483</v>
      </c>
      <c r="B1966" s="31">
        <v>51.091999999999999</v>
      </c>
      <c r="C1966" s="32" t="s">
        <v>13281</v>
      </c>
      <c r="D1966" s="31" t="s">
        <v>13097</v>
      </c>
      <c r="E1966" s="40" t="s">
        <v>13282</v>
      </c>
      <c r="F1966" s="38" t="s">
        <v>9167</v>
      </c>
      <c r="G1966" s="34" t="s">
        <v>9671</v>
      </c>
      <c r="I1966" s="44" t="s">
        <v>13242</v>
      </c>
      <c r="J1966" s="36" t="s">
        <v>1483</v>
      </c>
    </row>
    <row r="1967" spans="1:10" x14ac:dyDescent="0.25">
      <c r="A1967" s="31" t="s">
        <v>2121</v>
      </c>
      <c r="B1967" s="31">
        <v>51.092100000000002</v>
      </c>
      <c r="C1967" s="32" t="s">
        <v>13283</v>
      </c>
      <c r="D1967" s="31" t="s">
        <v>13097</v>
      </c>
      <c r="E1967" s="40" t="s">
        <v>13284</v>
      </c>
      <c r="F1967" s="38" t="s">
        <v>9167</v>
      </c>
      <c r="G1967" s="34" t="s">
        <v>9671</v>
      </c>
      <c r="I1967" s="44" t="s">
        <v>13242</v>
      </c>
      <c r="J1967" s="36" t="s">
        <v>2121</v>
      </c>
    </row>
    <row r="1968" spans="1:10" x14ac:dyDescent="0.25">
      <c r="A1968" s="31" t="s">
        <v>2122</v>
      </c>
      <c r="B1968" s="31">
        <v>51.092199999999998</v>
      </c>
      <c r="C1968" s="32" t="s">
        <v>13285</v>
      </c>
      <c r="D1968" s="31" t="s">
        <v>13097</v>
      </c>
      <c r="E1968" s="40" t="s">
        <v>13286</v>
      </c>
      <c r="F1968" s="38" t="s">
        <v>9167</v>
      </c>
      <c r="G1968" s="34" t="s">
        <v>9671</v>
      </c>
      <c r="I1968" s="44" t="s">
        <v>13242</v>
      </c>
      <c r="J1968" s="36" t="s">
        <v>2122</v>
      </c>
    </row>
    <row r="1969" spans="1:10" x14ac:dyDescent="0.25">
      <c r="A1969" s="31" t="s">
        <v>2123</v>
      </c>
      <c r="B1969" s="31">
        <v>51.092300000000002</v>
      </c>
      <c r="C1969" s="32" t="s">
        <v>13287</v>
      </c>
      <c r="D1969" s="31" t="s">
        <v>13097</v>
      </c>
      <c r="E1969" s="40" t="s">
        <v>13288</v>
      </c>
      <c r="F1969" s="38" t="s">
        <v>9167</v>
      </c>
      <c r="G1969" s="34" t="s">
        <v>9671</v>
      </c>
      <c r="I1969" s="44" t="s">
        <v>13242</v>
      </c>
      <c r="J1969" s="36" t="s">
        <v>2123</v>
      </c>
    </row>
    <row r="1970" spans="1:10" x14ac:dyDescent="0.25">
      <c r="A1970" s="31" t="s">
        <v>1793</v>
      </c>
      <c r="B1970" s="31">
        <v>51.092399999999998</v>
      </c>
      <c r="C1970" s="32" t="s">
        <v>13289</v>
      </c>
      <c r="D1970" s="31" t="s">
        <v>13097</v>
      </c>
      <c r="E1970" s="40" t="s">
        <v>13290</v>
      </c>
      <c r="F1970" s="38" t="s">
        <v>9167</v>
      </c>
      <c r="G1970" s="34" t="s">
        <v>9671</v>
      </c>
      <c r="I1970" s="44" t="s">
        <v>13242</v>
      </c>
      <c r="J1970" s="36" t="s">
        <v>1793</v>
      </c>
    </row>
    <row r="1971" spans="1:10" x14ac:dyDescent="0.25">
      <c r="A1971" s="31" t="s">
        <v>1484</v>
      </c>
      <c r="B1971" s="31">
        <v>51.099899999999998</v>
      </c>
      <c r="C1971" s="32" t="s">
        <v>13291</v>
      </c>
      <c r="D1971" s="31" t="s">
        <v>13097</v>
      </c>
      <c r="E1971" s="40" t="s">
        <v>13292</v>
      </c>
      <c r="F1971" s="38" t="s">
        <v>9167</v>
      </c>
      <c r="G1971" s="34" t="s">
        <v>9671</v>
      </c>
      <c r="I1971" s="44" t="s">
        <v>13242</v>
      </c>
      <c r="J1971" s="36" t="s">
        <v>1484</v>
      </c>
    </row>
    <row r="1972" spans="1:10" x14ac:dyDescent="0.25">
      <c r="A1972" s="31" t="s">
        <v>1485</v>
      </c>
      <c r="B1972" s="31">
        <v>51.1</v>
      </c>
      <c r="C1972" s="32" t="s">
        <v>13293</v>
      </c>
      <c r="D1972" s="31" t="s">
        <v>13097</v>
      </c>
      <c r="E1972" s="40" t="s">
        <v>9672</v>
      </c>
      <c r="F1972" s="38" t="s">
        <v>9167</v>
      </c>
      <c r="G1972" s="34" t="s">
        <v>9672</v>
      </c>
      <c r="H1972" s="34" t="s">
        <v>9672</v>
      </c>
      <c r="I1972" s="44" t="s">
        <v>13293</v>
      </c>
      <c r="J1972" s="36" t="s">
        <v>1485</v>
      </c>
    </row>
    <row r="1973" spans="1:10" x14ac:dyDescent="0.25">
      <c r="A1973" s="31" t="s">
        <v>1486</v>
      </c>
      <c r="B1973" s="31">
        <v>51.100099999999998</v>
      </c>
      <c r="C1973" s="32" t="s">
        <v>13294</v>
      </c>
      <c r="D1973" s="31" t="s">
        <v>13097</v>
      </c>
      <c r="E1973" s="40" t="s">
        <v>13295</v>
      </c>
      <c r="F1973" s="38" t="s">
        <v>9167</v>
      </c>
      <c r="G1973" s="34" t="s">
        <v>9672</v>
      </c>
      <c r="I1973" s="44" t="s">
        <v>13293</v>
      </c>
      <c r="J1973" s="36" t="s">
        <v>1486</v>
      </c>
    </row>
    <row r="1974" spans="1:10" x14ac:dyDescent="0.25">
      <c r="A1974" s="31" t="s">
        <v>1487</v>
      </c>
      <c r="B1974" s="31">
        <v>51.100200000000001</v>
      </c>
      <c r="C1974" s="32" t="s">
        <v>13296</v>
      </c>
      <c r="D1974" s="31" t="s">
        <v>13097</v>
      </c>
      <c r="E1974" s="40" t="s">
        <v>13297</v>
      </c>
      <c r="F1974" s="38" t="s">
        <v>9167</v>
      </c>
      <c r="G1974" s="34" t="s">
        <v>9672</v>
      </c>
      <c r="I1974" s="44" t="s">
        <v>13293</v>
      </c>
      <c r="J1974" s="36" t="s">
        <v>1487</v>
      </c>
    </row>
    <row r="1975" spans="1:10" x14ac:dyDescent="0.25">
      <c r="A1975" s="31" t="s">
        <v>1488</v>
      </c>
      <c r="B1975" s="31">
        <v>51.100299999999997</v>
      </c>
      <c r="C1975" s="32" t="s">
        <v>13298</v>
      </c>
      <c r="D1975" s="31" t="s">
        <v>13097</v>
      </c>
      <c r="E1975" s="40" t="s">
        <v>13299</v>
      </c>
      <c r="F1975" s="38" t="s">
        <v>9167</v>
      </c>
      <c r="G1975" s="34" t="s">
        <v>9672</v>
      </c>
      <c r="I1975" s="44" t="s">
        <v>13293</v>
      </c>
      <c r="J1975" s="36" t="s">
        <v>1488</v>
      </c>
    </row>
    <row r="1976" spans="1:10" x14ac:dyDescent="0.25">
      <c r="A1976" s="31" t="s">
        <v>1489</v>
      </c>
      <c r="B1976" s="31">
        <v>51.1004</v>
      </c>
      <c r="C1976" s="32" t="s">
        <v>13300</v>
      </c>
      <c r="D1976" s="31" t="s">
        <v>13097</v>
      </c>
      <c r="E1976" s="40" t="s">
        <v>13301</v>
      </c>
      <c r="F1976" s="38" t="s">
        <v>9167</v>
      </c>
      <c r="G1976" s="34" t="s">
        <v>9672</v>
      </c>
      <c r="I1976" s="44" t="s">
        <v>13293</v>
      </c>
      <c r="J1976" s="36" t="s">
        <v>1489</v>
      </c>
    </row>
    <row r="1977" spans="1:10" x14ac:dyDescent="0.25">
      <c r="A1977" s="31" t="s">
        <v>1490</v>
      </c>
      <c r="B1977" s="31">
        <v>51.100499999999997</v>
      </c>
      <c r="C1977" s="32" t="s">
        <v>13302</v>
      </c>
      <c r="D1977" s="31" t="s">
        <v>13097</v>
      </c>
      <c r="E1977" s="40" t="s">
        <v>13303</v>
      </c>
      <c r="F1977" s="38" t="s">
        <v>9167</v>
      </c>
      <c r="G1977" s="34" t="s">
        <v>9672</v>
      </c>
      <c r="I1977" s="44" t="s">
        <v>13293</v>
      </c>
      <c r="J1977" s="36" t="s">
        <v>1490</v>
      </c>
    </row>
    <row r="1978" spans="1:10" x14ac:dyDescent="0.25">
      <c r="A1978" s="31" t="s">
        <v>1491</v>
      </c>
      <c r="B1978" s="31">
        <v>51.1006</v>
      </c>
      <c r="C1978" s="32" t="s">
        <v>13304</v>
      </c>
      <c r="D1978" s="31" t="s">
        <v>13097</v>
      </c>
      <c r="E1978" s="40" t="s">
        <v>13305</v>
      </c>
      <c r="F1978" s="38" t="s">
        <v>9167</v>
      </c>
      <c r="G1978" s="34" t="s">
        <v>9672</v>
      </c>
      <c r="I1978" s="44" t="s">
        <v>13293</v>
      </c>
      <c r="J1978" s="36" t="s">
        <v>1491</v>
      </c>
    </row>
    <row r="1979" spans="1:10" x14ac:dyDescent="0.25">
      <c r="A1979" s="31" t="s">
        <v>1492</v>
      </c>
      <c r="B1979" s="31">
        <v>51.100700000000003</v>
      </c>
      <c r="C1979" s="32" t="s">
        <v>13306</v>
      </c>
      <c r="D1979" s="31" t="s">
        <v>13097</v>
      </c>
      <c r="E1979" s="40" t="s">
        <v>13307</v>
      </c>
      <c r="F1979" s="38" t="s">
        <v>9167</v>
      </c>
      <c r="G1979" s="34" t="s">
        <v>9672</v>
      </c>
      <c r="I1979" s="44" t="s">
        <v>13293</v>
      </c>
      <c r="J1979" s="36" t="s">
        <v>1492</v>
      </c>
    </row>
    <row r="1980" spans="1:10" x14ac:dyDescent="0.25">
      <c r="A1980" s="31" t="s">
        <v>1493</v>
      </c>
      <c r="B1980" s="31">
        <v>51.1008</v>
      </c>
      <c r="C1980" s="32" t="s">
        <v>13308</v>
      </c>
      <c r="D1980" s="31" t="s">
        <v>13097</v>
      </c>
      <c r="E1980" s="40" t="s">
        <v>13309</v>
      </c>
      <c r="F1980" s="38" t="s">
        <v>9167</v>
      </c>
      <c r="G1980" s="34" t="s">
        <v>9672</v>
      </c>
      <c r="I1980" s="44" t="s">
        <v>13293</v>
      </c>
      <c r="J1980" s="36" t="s">
        <v>1493</v>
      </c>
    </row>
    <row r="1981" spans="1:10" x14ac:dyDescent="0.25">
      <c r="A1981" s="31" t="s">
        <v>1494</v>
      </c>
      <c r="B1981" s="31">
        <v>51.100900000000003</v>
      </c>
      <c r="C1981" s="32" t="s">
        <v>13310</v>
      </c>
      <c r="D1981" s="31" t="s">
        <v>13097</v>
      </c>
      <c r="E1981" s="40" t="s">
        <v>13311</v>
      </c>
      <c r="F1981" s="38" t="s">
        <v>9167</v>
      </c>
      <c r="G1981" s="34" t="s">
        <v>9672</v>
      </c>
      <c r="I1981" s="44" t="s">
        <v>13293</v>
      </c>
      <c r="J1981" s="36" t="s">
        <v>1494</v>
      </c>
    </row>
    <row r="1982" spans="1:10" x14ac:dyDescent="0.25">
      <c r="A1982" s="31" t="s">
        <v>1495</v>
      </c>
      <c r="B1982" s="31">
        <v>51.100999999999999</v>
      </c>
      <c r="C1982" s="32" t="s">
        <v>13312</v>
      </c>
      <c r="D1982" s="31" t="s">
        <v>13097</v>
      </c>
      <c r="E1982" s="40" t="s">
        <v>13313</v>
      </c>
      <c r="F1982" s="38" t="s">
        <v>9167</v>
      </c>
      <c r="G1982" s="34" t="s">
        <v>9672</v>
      </c>
      <c r="I1982" s="44" t="s">
        <v>13293</v>
      </c>
      <c r="J1982" s="36" t="s">
        <v>1495</v>
      </c>
    </row>
    <row r="1983" spans="1:10" x14ac:dyDescent="0.25">
      <c r="A1983" s="31" t="s">
        <v>1496</v>
      </c>
      <c r="B1983" s="31">
        <v>51.101100000000002</v>
      </c>
      <c r="C1983" s="32" t="s">
        <v>13314</v>
      </c>
      <c r="D1983" s="31" t="s">
        <v>13097</v>
      </c>
      <c r="E1983" s="40" t="s">
        <v>13315</v>
      </c>
      <c r="F1983" s="38" t="s">
        <v>9167</v>
      </c>
      <c r="G1983" s="34" t="s">
        <v>9672</v>
      </c>
      <c r="I1983" s="44" t="s">
        <v>13293</v>
      </c>
      <c r="J1983" s="36" t="s">
        <v>1496</v>
      </c>
    </row>
    <row r="1984" spans="1:10" x14ac:dyDescent="0.25">
      <c r="A1984" s="31" t="s">
        <v>1497</v>
      </c>
      <c r="B1984" s="31">
        <v>51.101199999999999</v>
      </c>
      <c r="C1984" s="32" t="s">
        <v>13316</v>
      </c>
      <c r="D1984" s="31" t="s">
        <v>13097</v>
      </c>
      <c r="E1984" s="40" t="s">
        <v>13317</v>
      </c>
      <c r="F1984" s="38" t="s">
        <v>9167</v>
      </c>
      <c r="G1984" s="34" t="s">
        <v>9672</v>
      </c>
      <c r="I1984" s="44" t="s">
        <v>13293</v>
      </c>
      <c r="J1984" s="36" t="s">
        <v>1497</v>
      </c>
    </row>
    <row r="1985" spans="1:10" x14ac:dyDescent="0.25">
      <c r="A1985" s="31" t="s">
        <v>1498</v>
      </c>
      <c r="B1985" s="31">
        <v>51.109900000000003</v>
      </c>
      <c r="C1985" s="32" t="s">
        <v>13318</v>
      </c>
      <c r="D1985" s="31" t="s">
        <v>13097</v>
      </c>
      <c r="E1985" s="40" t="s">
        <v>13319</v>
      </c>
      <c r="F1985" s="38" t="s">
        <v>9167</v>
      </c>
      <c r="G1985" s="34" t="s">
        <v>9672</v>
      </c>
      <c r="I1985" s="44" t="s">
        <v>13293</v>
      </c>
      <c r="J1985" s="36" t="s">
        <v>1498</v>
      </c>
    </row>
    <row r="1986" spans="1:10" x14ac:dyDescent="0.25">
      <c r="A1986" s="31" t="s">
        <v>1499</v>
      </c>
      <c r="B1986" s="31">
        <v>51.11</v>
      </c>
      <c r="C1986" s="32" t="s">
        <v>13320</v>
      </c>
      <c r="D1986" s="31" t="s">
        <v>13097</v>
      </c>
      <c r="E1986" s="40" t="s">
        <v>9673</v>
      </c>
      <c r="F1986" s="38" t="s">
        <v>9167</v>
      </c>
      <c r="G1986" s="34" t="s">
        <v>9673</v>
      </c>
      <c r="H1986" s="34" t="s">
        <v>9673</v>
      </c>
      <c r="I1986" s="44" t="s">
        <v>13320</v>
      </c>
      <c r="J1986" s="36" t="s">
        <v>1499</v>
      </c>
    </row>
    <row r="1987" spans="1:10" x14ac:dyDescent="0.25">
      <c r="A1987" s="31" t="s">
        <v>1500</v>
      </c>
      <c r="B1987" s="31">
        <v>51.110100000000003</v>
      </c>
      <c r="C1987" s="32" t="s">
        <v>13321</v>
      </c>
      <c r="D1987" s="31" t="s">
        <v>13097</v>
      </c>
      <c r="E1987" s="40" t="s">
        <v>13322</v>
      </c>
      <c r="F1987" s="38" t="s">
        <v>9167</v>
      </c>
      <c r="G1987" s="34" t="s">
        <v>9673</v>
      </c>
      <c r="I1987" s="44" t="s">
        <v>13320</v>
      </c>
      <c r="J1987" s="36" t="s">
        <v>1500</v>
      </c>
    </row>
    <row r="1988" spans="1:10" x14ac:dyDescent="0.25">
      <c r="A1988" s="31" t="s">
        <v>1501</v>
      </c>
      <c r="B1988" s="31">
        <v>51.110199999999999</v>
      </c>
      <c r="C1988" s="32" t="s">
        <v>13323</v>
      </c>
      <c r="D1988" s="31" t="s">
        <v>13097</v>
      </c>
      <c r="E1988" s="40" t="s">
        <v>13324</v>
      </c>
      <c r="F1988" s="38" t="s">
        <v>9167</v>
      </c>
      <c r="G1988" s="34" t="s">
        <v>9673</v>
      </c>
      <c r="I1988" s="44" t="s">
        <v>13320</v>
      </c>
      <c r="J1988" s="36" t="s">
        <v>1501</v>
      </c>
    </row>
    <row r="1989" spans="1:10" x14ac:dyDescent="0.25">
      <c r="A1989" s="31" t="s">
        <v>1502</v>
      </c>
      <c r="B1989" s="31">
        <v>51.110300000000002</v>
      </c>
      <c r="C1989" s="32" t="s">
        <v>13325</v>
      </c>
      <c r="D1989" s="31" t="s">
        <v>13097</v>
      </c>
      <c r="E1989" s="40" t="s">
        <v>13326</v>
      </c>
      <c r="F1989" s="38" t="s">
        <v>9167</v>
      </c>
      <c r="G1989" s="34" t="s">
        <v>9673</v>
      </c>
      <c r="I1989" s="44" t="s">
        <v>13320</v>
      </c>
      <c r="J1989" s="36" t="s">
        <v>1502</v>
      </c>
    </row>
    <row r="1990" spans="1:10" x14ac:dyDescent="0.25">
      <c r="A1990" s="31" t="s">
        <v>1503</v>
      </c>
      <c r="B1990" s="31">
        <v>51.110399999999998</v>
      </c>
      <c r="C1990" s="32" t="s">
        <v>13327</v>
      </c>
      <c r="D1990" s="31" t="s">
        <v>13097</v>
      </c>
      <c r="E1990" s="40" t="s">
        <v>13328</v>
      </c>
      <c r="F1990" s="38" t="s">
        <v>9167</v>
      </c>
      <c r="G1990" s="34" t="s">
        <v>9673</v>
      </c>
      <c r="I1990" s="44" t="s">
        <v>13320</v>
      </c>
      <c r="J1990" s="36" t="s">
        <v>1503</v>
      </c>
    </row>
    <row r="1991" spans="1:10" x14ac:dyDescent="0.25">
      <c r="A1991" s="31" t="s">
        <v>1504</v>
      </c>
      <c r="B1991" s="31">
        <v>51.110500000000002</v>
      </c>
      <c r="C1991" s="32" t="s">
        <v>13329</v>
      </c>
      <c r="D1991" s="31" t="s">
        <v>13097</v>
      </c>
      <c r="E1991" s="40" t="s">
        <v>13330</v>
      </c>
      <c r="F1991" s="38" t="s">
        <v>9167</v>
      </c>
      <c r="G1991" s="34" t="s">
        <v>9673</v>
      </c>
      <c r="I1991" s="44" t="s">
        <v>13320</v>
      </c>
      <c r="J1991" s="36" t="s">
        <v>1504</v>
      </c>
    </row>
    <row r="1992" spans="1:10" x14ac:dyDescent="0.25">
      <c r="A1992" s="31" t="s">
        <v>1505</v>
      </c>
      <c r="B1992" s="31">
        <v>51.110599999999998</v>
      </c>
      <c r="C1992" s="32" t="s">
        <v>13331</v>
      </c>
      <c r="D1992" s="31" t="s">
        <v>13097</v>
      </c>
      <c r="E1992" s="40" t="s">
        <v>13332</v>
      </c>
      <c r="F1992" s="38" t="s">
        <v>9167</v>
      </c>
      <c r="G1992" s="34" t="s">
        <v>9673</v>
      </c>
      <c r="I1992" s="44" t="s">
        <v>13320</v>
      </c>
      <c r="J1992" s="36" t="s">
        <v>1505</v>
      </c>
    </row>
    <row r="1993" spans="1:10" x14ac:dyDescent="0.25">
      <c r="A1993" s="31" t="s">
        <v>1506</v>
      </c>
      <c r="B1993" s="31">
        <v>51.110700000000001</v>
      </c>
      <c r="C1993" s="32" t="s">
        <v>13333</v>
      </c>
      <c r="D1993" s="31" t="s">
        <v>13097</v>
      </c>
      <c r="E1993" s="40" t="s">
        <v>13334</v>
      </c>
      <c r="F1993" s="38" t="s">
        <v>9167</v>
      </c>
      <c r="G1993" s="34" t="s">
        <v>9673</v>
      </c>
      <c r="I1993" s="44" t="s">
        <v>13320</v>
      </c>
      <c r="J1993" s="36" t="s">
        <v>1506</v>
      </c>
    </row>
    <row r="1994" spans="1:10" x14ac:dyDescent="0.25">
      <c r="A1994" s="31" t="s">
        <v>1507</v>
      </c>
      <c r="B1994" s="31">
        <v>51.110799999999998</v>
      </c>
      <c r="C1994" s="32" t="s">
        <v>13335</v>
      </c>
      <c r="D1994" s="31" t="s">
        <v>13097</v>
      </c>
      <c r="E1994" s="40" t="s">
        <v>13336</v>
      </c>
      <c r="F1994" s="38" t="s">
        <v>9167</v>
      </c>
      <c r="G1994" s="34" t="s">
        <v>9673</v>
      </c>
      <c r="I1994" s="44" t="s">
        <v>13320</v>
      </c>
      <c r="J1994" s="36" t="s">
        <v>1507</v>
      </c>
    </row>
    <row r="1995" spans="1:10" x14ac:dyDescent="0.25">
      <c r="A1995" s="31" t="s">
        <v>1508</v>
      </c>
      <c r="B1995" s="31">
        <v>51.110900000000001</v>
      </c>
      <c r="C1995" s="32" t="s">
        <v>13337</v>
      </c>
      <c r="D1995" s="31" t="s">
        <v>13097</v>
      </c>
      <c r="E1995" s="40" t="s">
        <v>13338</v>
      </c>
      <c r="F1995" s="38" t="s">
        <v>9167</v>
      </c>
      <c r="G1995" s="34" t="s">
        <v>9673</v>
      </c>
      <c r="I1995" s="44" t="s">
        <v>13320</v>
      </c>
      <c r="J1995" s="36" t="s">
        <v>1508</v>
      </c>
    </row>
    <row r="1996" spans="1:10" x14ac:dyDescent="0.25">
      <c r="A1996" s="31" t="s">
        <v>2124</v>
      </c>
      <c r="B1996" s="31">
        <v>51.110999999999997</v>
      </c>
      <c r="C1996" s="32" t="s">
        <v>13339</v>
      </c>
      <c r="D1996" s="31" t="s">
        <v>13097</v>
      </c>
      <c r="E1996" s="40" t="s">
        <v>13340</v>
      </c>
      <c r="F1996" s="38" t="s">
        <v>9167</v>
      </c>
      <c r="G1996" s="34" t="s">
        <v>9673</v>
      </c>
      <c r="I1996" s="44" t="s">
        <v>13320</v>
      </c>
      <c r="J1996" s="36" t="s">
        <v>2124</v>
      </c>
    </row>
    <row r="1997" spans="1:10" x14ac:dyDescent="0.25">
      <c r="A1997" s="31" t="s">
        <v>2125</v>
      </c>
      <c r="B1997" s="31">
        <v>51.1111</v>
      </c>
      <c r="C1997" s="32" t="s">
        <v>13341</v>
      </c>
      <c r="D1997" s="31" t="s">
        <v>13097</v>
      </c>
      <c r="E1997" s="40" t="s">
        <v>13342</v>
      </c>
      <c r="F1997" s="38" t="s">
        <v>9167</v>
      </c>
      <c r="G1997" s="34" t="s">
        <v>9673</v>
      </c>
      <c r="I1997" s="44" t="s">
        <v>13320</v>
      </c>
      <c r="J1997" s="36" t="s">
        <v>2125</v>
      </c>
    </row>
    <row r="1998" spans="1:10" x14ac:dyDescent="0.25">
      <c r="A1998" s="31" t="s">
        <v>1509</v>
      </c>
      <c r="B1998" s="31">
        <v>51.119900000000001</v>
      </c>
      <c r="C1998" s="32" t="s">
        <v>13343</v>
      </c>
      <c r="D1998" s="31" t="s">
        <v>13097</v>
      </c>
      <c r="E1998" s="40" t="s">
        <v>13344</v>
      </c>
      <c r="F1998" s="38" t="s">
        <v>9167</v>
      </c>
      <c r="G1998" s="34" t="s">
        <v>9673</v>
      </c>
      <c r="I1998" s="44" t="s">
        <v>13320</v>
      </c>
      <c r="J1998" s="36" t="s">
        <v>1509</v>
      </c>
    </row>
    <row r="1999" spans="1:10" x14ac:dyDescent="0.25">
      <c r="A1999" s="31" t="s">
        <v>1510</v>
      </c>
      <c r="B1999" s="31">
        <v>51.12</v>
      </c>
      <c r="C1999" s="32" t="s">
        <v>13345</v>
      </c>
      <c r="D1999" s="31" t="s">
        <v>13097</v>
      </c>
      <c r="E1999" s="40" t="s">
        <v>9674</v>
      </c>
      <c r="F1999" s="38" t="s">
        <v>9167</v>
      </c>
      <c r="G1999" s="34" t="s">
        <v>9674</v>
      </c>
      <c r="H1999" s="34" t="s">
        <v>9674</v>
      </c>
      <c r="I1999" s="44" t="s">
        <v>13345</v>
      </c>
      <c r="J1999" s="36" t="s">
        <v>1510</v>
      </c>
    </row>
    <row r="2000" spans="1:10" x14ac:dyDescent="0.25">
      <c r="A2000" s="31" t="s">
        <v>1510</v>
      </c>
      <c r="B2000" s="31">
        <v>51.120100000000001</v>
      </c>
      <c r="C2000" s="32" t="s">
        <v>13346</v>
      </c>
      <c r="D2000" s="31" t="s">
        <v>13097</v>
      </c>
      <c r="E2000" s="40" t="s">
        <v>13347</v>
      </c>
      <c r="F2000" s="38" t="s">
        <v>9167</v>
      </c>
      <c r="G2000" s="34" t="s">
        <v>9674</v>
      </c>
      <c r="I2000" s="44" t="s">
        <v>13345</v>
      </c>
      <c r="J2000" s="36" t="s">
        <v>1510</v>
      </c>
    </row>
    <row r="2001" spans="1:10" x14ac:dyDescent="0.25">
      <c r="A2001" s="31" t="s">
        <v>1541</v>
      </c>
      <c r="B2001" s="31">
        <v>51.120199999999997</v>
      </c>
      <c r="C2001" s="32" t="s">
        <v>13348</v>
      </c>
      <c r="D2001" s="31" t="s">
        <v>13097</v>
      </c>
      <c r="E2001" s="40" t="s">
        <v>13349</v>
      </c>
      <c r="F2001" s="38" t="s">
        <v>9167</v>
      </c>
      <c r="G2001" s="34" t="s">
        <v>9674</v>
      </c>
      <c r="I2001" s="44" t="s">
        <v>13345</v>
      </c>
      <c r="J2001" s="36" t="s">
        <v>1541</v>
      </c>
    </row>
    <row r="2002" spans="1:10" x14ac:dyDescent="0.25">
      <c r="A2002" s="31" t="s">
        <v>1555</v>
      </c>
      <c r="B2002" s="31">
        <v>51.1203</v>
      </c>
      <c r="C2002" s="32" t="s">
        <v>13350</v>
      </c>
      <c r="D2002" s="31" t="s">
        <v>13097</v>
      </c>
      <c r="E2002" s="40" t="s">
        <v>13351</v>
      </c>
      <c r="F2002" s="38" t="s">
        <v>9167</v>
      </c>
      <c r="G2002" s="34" t="s">
        <v>9674</v>
      </c>
      <c r="I2002" s="44" t="s">
        <v>13345</v>
      </c>
      <c r="J2002" s="36" t="s">
        <v>1555</v>
      </c>
    </row>
    <row r="2003" spans="1:10" x14ac:dyDescent="0.25">
      <c r="A2003" s="31" t="s">
        <v>2126</v>
      </c>
      <c r="B2003" s="31">
        <v>51.129899999999999</v>
      </c>
      <c r="C2003" s="32" t="s">
        <v>13352</v>
      </c>
      <c r="D2003" s="31" t="s">
        <v>13097</v>
      </c>
      <c r="E2003" s="40" t="s">
        <v>13353</v>
      </c>
      <c r="F2003" s="38" t="s">
        <v>9167</v>
      </c>
      <c r="G2003" s="34" t="s">
        <v>9674</v>
      </c>
      <c r="I2003" s="44" t="s">
        <v>13345</v>
      </c>
      <c r="J2003" s="36" t="s">
        <v>2126</v>
      </c>
    </row>
    <row r="2004" spans="1:10" x14ac:dyDescent="0.25">
      <c r="A2004" s="31" t="s">
        <v>1511</v>
      </c>
      <c r="B2004" s="31">
        <v>51.14</v>
      </c>
      <c r="C2004" s="32" t="s">
        <v>13354</v>
      </c>
      <c r="D2004" s="31" t="s">
        <v>13097</v>
      </c>
      <c r="E2004" s="40" t="s">
        <v>9675</v>
      </c>
      <c r="F2004" s="38" t="s">
        <v>9167</v>
      </c>
      <c r="G2004" s="34" t="s">
        <v>9675</v>
      </c>
      <c r="H2004" s="34" t="s">
        <v>9675</v>
      </c>
      <c r="I2004" s="44" t="s">
        <v>13354</v>
      </c>
      <c r="J2004" s="36" t="s">
        <v>1511</v>
      </c>
    </row>
    <row r="2005" spans="1:10" x14ac:dyDescent="0.25">
      <c r="A2005" s="31" t="s">
        <v>2127</v>
      </c>
      <c r="B2005" s="31">
        <v>51.140099999999997</v>
      </c>
      <c r="C2005" s="32" t="s">
        <v>13355</v>
      </c>
      <c r="D2005" s="31" t="s">
        <v>13097</v>
      </c>
      <c r="E2005" s="40" t="s">
        <v>13356</v>
      </c>
      <c r="F2005" s="38" t="s">
        <v>9167</v>
      </c>
      <c r="G2005" s="34" t="s">
        <v>9675</v>
      </c>
      <c r="I2005" s="44" t="s">
        <v>13354</v>
      </c>
      <c r="J2005" s="36" t="s">
        <v>2127</v>
      </c>
    </row>
    <row r="2006" spans="1:10" x14ac:dyDescent="0.25">
      <c r="A2006" s="31" t="s">
        <v>2128</v>
      </c>
      <c r="B2006" s="31">
        <v>51.1402</v>
      </c>
      <c r="C2006" s="32" t="s">
        <v>13357</v>
      </c>
      <c r="D2006" s="31" t="s">
        <v>13097</v>
      </c>
      <c r="E2006" s="40" t="s">
        <v>13358</v>
      </c>
      <c r="F2006" s="38" t="s">
        <v>9167</v>
      </c>
      <c r="G2006" s="34" t="s">
        <v>9675</v>
      </c>
      <c r="I2006" s="44" t="s">
        <v>13354</v>
      </c>
      <c r="J2006" s="36" t="s">
        <v>2128</v>
      </c>
    </row>
    <row r="2007" spans="1:10" x14ac:dyDescent="0.25">
      <c r="A2007" s="31" t="s">
        <v>2129</v>
      </c>
      <c r="B2007" s="31">
        <v>51.140300000000003</v>
      </c>
      <c r="C2007" s="32" t="s">
        <v>13359</v>
      </c>
      <c r="D2007" s="31" t="s">
        <v>13097</v>
      </c>
      <c r="E2007" s="40" t="s">
        <v>13360</v>
      </c>
      <c r="F2007" s="38" t="s">
        <v>9167</v>
      </c>
      <c r="G2007" s="34" t="s">
        <v>9675</v>
      </c>
      <c r="I2007" s="44" t="s">
        <v>13354</v>
      </c>
      <c r="J2007" s="36" t="s">
        <v>2129</v>
      </c>
    </row>
    <row r="2008" spans="1:10" x14ac:dyDescent="0.25">
      <c r="A2008" s="31" t="s">
        <v>2130</v>
      </c>
      <c r="B2008" s="31">
        <v>51.1404</v>
      </c>
      <c r="C2008" s="32" t="s">
        <v>13361</v>
      </c>
      <c r="D2008" s="31" t="s">
        <v>13097</v>
      </c>
      <c r="E2008" s="40" t="s">
        <v>13362</v>
      </c>
      <c r="F2008" s="38" t="s">
        <v>9167</v>
      </c>
      <c r="G2008" s="34" t="s">
        <v>9675</v>
      </c>
      <c r="I2008" s="44" t="s">
        <v>13354</v>
      </c>
      <c r="J2008" s="36" t="s">
        <v>2130</v>
      </c>
    </row>
    <row r="2009" spans="1:10" x14ac:dyDescent="0.25">
      <c r="A2009" s="31" t="s">
        <v>2131</v>
      </c>
      <c r="B2009" s="31">
        <v>51.140500000000003</v>
      </c>
      <c r="C2009" s="32" t="s">
        <v>13363</v>
      </c>
      <c r="D2009" s="31" t="s">
        <v>13097</v>
      </c>
      <c r="E2009" s="40" t="s">
        <v>13364</v>
      </c>
      <c r="F2009" s="38" t="s">
        <v>9167</v>
      </c>
      <c r="G2009" s="34" t="s">
        <v>9675</v>
      </c>
      <c r="I2009" s="44" t="s">
        <v>13354</v>
      </c>
      <c r="J2009" s="36" t="s">
        <v>2131</v>
      </c>
    </row>
    <row r="2010" spans="1:10" x14ac:dyDescent="0.25">
      <c r="A2010" s="31" t="s">
        <v>2132</v>
      </c>
      <c r="B2010" s="31">
        <v>51.149900000000002</v>
      </c>
      <c r="C2010" s="32" t="s">
        <v>13365</v>
      </c>
      <c r="D2010" s="31" t="s">
        <v>13097</v>
      </c>
      <c r="E2010" s="40" t="s">
        <v>13366</v>
      </c>
      <c r="F2010" s="38" t="s">
        <v>9167</v>
      </c>
      <c r="G2010" s="34" t="s">
        <v>9675</v>
      </c>
      <c r="I2010" s="44" t="s">
        <v>13354</v>
      </c>
      <c r="J2010" s="36" t="s">
        <v>2132</v>
      </c>
    </row>
    <row r="2011" spans="1:10" x14ac:dyDescent="0.25">
      <c r="A2011" s="31" t="s">
        <v>1512</v>
      </c>
      <c r="B2011" s="31">
        <v>51.15</v>
      </c>
      <c r="C2011" s="32" t="s">
        <v>13367</v>
      </c>
      <c r="D2011" s="31" t="s">
        <v>13097</v>
      </c>
      <c r="E2011" s="40" t="s">
        <v>9676</v>
      </c>
      <c r="F2011" s="38" t="s">
        <v>9167</v>
      </c>
      <c r="G2011" s="34" t="s">
        <v>9676</v>
      </c>
      <c r="H2011" s="34" t="s">
        <v>9676</v>
      </c>
      <c r="I2011" s="44" t="s">
        <v>13367</v>
      </c>
      <c r="J2011" s="36" t="s">
        <v>1512</v>
      </c>
    </row>
    <row r="2012" spans="1:10" x14ac:dyDescent="0.25">
      <c r="A2012" s="31" t="s">
        <v>1513</v>
      </c>
      <c r="B2012" s="31">
        <v>51.150100000000002</v>
      </c>
      <c r="C2012" s="32" t="s">
        <v>13368</v>
      </c>
      <c r="D2012" s="31" t="s">
        <v>13097</v>
      </c>
      <c r="E2012" s="40" t="s">
        <v>13369</v>
      </c>
      <c r="F2012" s="38" t="s">
        <v>9167</v>
      </c>
      <c r="G2012" s="34" t="s">
        <v>9676</v>
      </c>
      <c r="I2012" s="44" t="s">
        <v>13367</v>
      </c>
      <c r="J2012" s="36" t="s">
        <v>1513</v>
      </c>
    </row>
    <row r="2013" spans="1:10" x14ac:dyDescent="0.25">
      <c r="A2013" s="31" t="s">
        <v>1514</v>
      </c>
      <c r="B2013" s="31">
        <v>51.150199999999998</v>
      </c>
      <c r="C2013" s="32" t="s">
        <v>13370</v>
      </c>
      <c r="D2013" s="31" t="s">
        <v>13097</v>
      </c>
      <c r="E2013" s="40" t="s">
        <v>13371</v>
      </c>
      <c r="F2013" s="38" t="s">
        <v>9167</v>
      </c>
      <c r="G2013" s="34" t="s">
        <v>9676</v>
      </c>
      <c r="I2013" s="44" t="s">
        <v>13367</v>
      </c>
      <c r="J2013" s="36" t="s">
        <v>1514</v>
      </c>
    </row>
    <row r="2014" spans="1:10" x14ac:dyDescent="0.25">
      <c r="A2014" s="31" t="s">
        <v>1515</v>
      </c>
      <c r="B2014" s="31">
        <v>51.150300000000001</v>
      </c>
      <c r="C2014" s="32" t="s">
        <v>13372</v>
      </c>
      <c r="D2014" s="31" t="s">
        <v>13097</v>
      </c>
      <c r="E2014" s="40" t="s">
        <v>13373</v>
      </c>
      <c r="F2014" s="38" t="s">
        <v>9167</v>
      </c>
      <c r="G2014" s="34" t="s">
        <v>9676</v>
      </c>
      <c r="I2014" s="44" t="s">
        <v>13367</v>
      </c>
      <c r="J2014" s="36" t="s">
        <v>1515</v>
      </c>
    </row>
    <row r="2015" spans="1:10" x14ac:dyDescent="0.25">
      <c r="A2015" s="31" t="s">
        <v>1516</v>
      </c>
      <c r="B2015" s="31">
        <v>51.150399999999998</v>
      </c>
      <c r="C2015" s="32" t="s">
        <v>13374</v>
      </c>
      <c r="D2015" s="31" t="s">
        <v>13097</v>
      </c>
      <c r="E2015" s="40" t="s">
        <v>13375</v>
      </c>
      <c r="F2015" s="38" t="s">
        <v>9167</v>
      </c>
      <c r="G2015" s="34" t="s">
        <v>9676</v>
      </c>
      <c r="I2015" s="44" t="s">
        <v>13367</v>
      </c>
      <c r="J2015" s="36" t="s">
        <v>1516</v>
      </c>
    </row>
    <row r="2016" spans="1:10" x14ac:dyDescent="0.25">
      <c r="A2016" s="31" t="s">
        <v>1517</v>
      </c>
      <c r="B2016" s="31">
        <v>51.150500000000001</v>
      </c>
      <c r="C2016" s="32" t="s">
        <v>13376</v>
      </c>
      <c r="D2016" s="31" t="s">
        <v>13097</v>
      </c>
      <c r="E2016" s="40" t="s">
        <v>13377</v>
      </c>
      <c r="F2016" s="38" t="s">
        <v>9167</v>
      </c>
      <c r="G2016" s="34" t="s">
        <v>9676</v>
      </c>
      <c r="I2016" s="44" t="s">
        <v>13367</v>
      </c>
      <c r="J2016" s="36" t="s">
        <v>1517</v>
      </c>
    </row>
    <row r="2017" spans="1:10" x14ac:dyDescent="0.25">
      <c r="A2017" s="31" t="s">
        <v>1518</v>
      </c>
      <c r="B2017" s="31">
        <v>51.150599999999997</v>
      </c>
      <c r="C2017" s="32" t="s">
        <v>13378</v>
      </c>
      <c r="D2017" s="31" t="s">
        <v>13097</v>
      </c>
      <c r="E2017" s="40" t="s">
        <v>13379</v>
      </c>
      <c r="F2017" s="38" t="s">
        <v>9167</v>
      </c>
      <c r="G2017" s="34" t="s">
        <v>9676</v>
      </c>
      <c r="I2017" s="44" t="s">
        <v>13367</v>
      </c>
      <c r="J2017" s="36" t="s">
        <v>1518</v>
      </c>
    </row>
    <row r="2018" spans="1:10" x14ac:dyDescent="0.25">
      <c r="A2018" s="31" t="s">
        <v>1519</v>
      </c>
      <c r="B2018" s="31">
        <v>51.150700000000001</v>
      </c>
      <c r="C2018" s="32" t="s">
        <v>13380</v>
      </c>
      <c r="D2018" s="31" t="s">
        <v>13097</v>
      </c>
      <c r="E2018" s="40" t="s">
        <v>13381</v>
      </c>
      <c r="F2018" s="38" t="s">
        <v>9167</v>
      </c>
      <c r="G2018" s="34" t="s">
        <v>9676</v>
      </c>
      <c r="I2018" s="44" t="s">
        <v>13367</v>
      </c>
      <c r="J2018" s="36" t="s">
        <v>1519</v>
      </c>
    </row>
    <row r="2019" spans="1:10" x14ac:dyDescent="0.25">
      <c r="A2019" s="31" t="s">
        <v>1520</v>
      </c>
      <c r="B2019" s="31">
        <v>51.150799999999997</v>
      </c>
      <c r="C2019" s="32" t="s">
        <v>13382</v>
      </c>
      <c r="D2019" s="31" t="s">
        <v>13097</v>
      </c>
      <c r="E2019" s="40" t="s">
        <v>13383</v>
      </c>
      <c r="F2019" s="38" t="s">
        <v>9167</v>
      </c>
      <c r="G2019" s="34" t="s">
        <v>9676</v>
      </c>
      <c r="I2019" s="44" t="s">
        <v>13367</v>
      </c>
      <c r="J2019" s="36" t="s">
        <v>1520</v>
      </c>
    </row>
    <row r="2020" spans="1:10" x14ac:dyDescent="0.25">
      <c r="A2020" s="31" t="s">
        <v>1521</v>
      </c>
      <c r="B2020" s="31">
        <v>51.1509</v>
      </c>
      <c r="C2020" s="32" t="s">
        <v>13384</v>
      </c>
      <c r="D2020" s="31" t="s">
        <v>13097</v>
      </c>
      <c r="E2020" s="40" t="s">
        <v>13385</v>
      </c>
      <c r="F2020" s="38" t="s">
        <v>9167</v>
      </c>
      <c r="G2020" s="34" t="s">
        <v>9676</v>
      </c>
      <c r="I2020" s="44" t="s">
        <v>13367</v>
      </c>
      <c r="J2020" s="36" t="s">
        <v>1521</v>
      </c>
    </row>
    <row r="2021" spans="1:10" x14ac:dyDescent="0.25">
      <c r="A2021" s="31" t="s">
        <v>2133</v>
      </c>
      <c r="B2021" s="31">
        <v>51.151000000000003</v>
      </c>
      <c r="C2021" s="32" t="s">
        <v>13386</v>
      </c>
      <c r="D2021" s="31" t="s">
        <v>13097</v>
      </c>
      <c r="E2021" s="40" t="s">
        <v>13387</v>
      </c>
      <c r="F2021" s="38" t="s">
        <v>9167</v>
      </c>
      <c r="G2021" s="34" t="s">
        <v>9676</v>
      </c>
      <c r="I2021" s="44" t="s">
        <v>13367</v>
      </c>
      <c r="J2021" s="36" t="s">
        <v>2133</v>
      </c>
    </row>
    <row r="2022" spans="1:10" x14ac:dyDescent="0.25">
      <c r="A2022" s="31" t="s">
        <v>2134</v>
      </c>
      <c r="B2022" s="31">
        <v>51.1511</v>
      </c>
      <c r="C2022" s="32" t="s">
        <v>13388</v>
      </c>
      <c r="D2022" s="31" t="s">
        <v>13097</v>
      </c>
      <c r="E2022" s="40" t="s">
        <v>13389</v>
      </c>
      <c r="F2022" s="38" t="s">
        <v>9167</v>
      </c>
      <c r="G2022" s="34" t="s">
        <v>9676</v>
      </c>
      <c r="I2022" s="44" t="s">
        <v>13367</v>
      </c>
      <c r="J2022" s="36" t="s">
        <v>2134</v>
      </c>
    </row>
    <row r="2023" spans="1:10" x14ac:dyDescent="0.25">
      <c r="A2023" s="31" t="s">
        <v>2135</v>
      </c>
      <c r="B2023" s="31">
        <v>51.151200000000003</v>
      </c>
      <c r="C2023" s="32" t="s">
        <v>13390</v>
      </c>
      <c r="D2023" s="31" t="s">
        <v>13097</v>
      </c>
      <c r="E2023" s="40" t="s">
        <v>13391</v>
      </c>
      <c r="F2023" s="38" t="s">
        <v>9167</v>
      </c>
      <c r="G2023" s="34" t="s">
        <v>9676</v>
      </c>
      <c r="I2023" s="44" t="s">
        <v>13367</v>
      </c>
      <c r="J2023" s="36" t="s">
        <v>2135</v>
      </c>
    </row>
    <row r="2024" spans="1:10" x14ac:dyDescent="0.25">
      <c r="A2024" s="31" t="s">
        <v>2136</v>
      </c>
      <c r="B2024" s="31">
        <v>51.151299999999999</v>
      </c>
      <c r="C2024" s="32" t="s">
        <v>13392</v>
      </c>
      <c r="D2024" s="31" t="s">
        <v>13097</v>
      </c>
      <c r="E2024" s="40" t="s">
        <v>13393</v>
      </c>
      <c r="F2024" s="38" t="s">
        <v>9167</v>
      </c>
      <c r="G2024" s="34" t="s">
        <v>9676</v>
      </c>
      <c r="I2024" s="44" t="s">
        <v>13367</v>
      </c>
      <c r="J2024" s="36" t="s">
        <v>2136</v>
      </c>
    </row>
    <row r="2025" spans="1:10" x14ac:dyDescent="0.25">
      <c r="A2025" s="31" t="s">
        <v>1793</v>
      </c>
      <c r="B2025" s="31">
        <v>51.158000000000001</v>
      </c>
      <c r="C2025" s="32" t="s">
        <v>13394</v>
      </c>
      <c r="D2025" s="31" t="s">
        <v>13097</v>
      </c>
      <c r="E2025" s="40" t="s">
        <v>13395</v>
      </c>
      <c r="F2025" s="38" t="s">
        <v>9167</v>
      </c>
      <c r="G2025" s="34" t="s">
        <v>9676</v>
      </c>
      <c r="I2025" s="44" t="s">
        <v>13367</v>
      </c>
      <c r="J2025" s="36" t="s">
        <v>1793</v>
      </c>
    </row>
    <row r="2026" spans="1:10" x14ac:dyDescent="0.25">
      <c r="A2026" s="31" t="s">
        <v>1522</v>
      </c>
      <c r="B2026" s="31">
        <v>51.1599</v>
      </c>
      <c r="C2026" s="32" t="s">
        <v>13396</v>
      </c>
      <c r="D2026" s="31" t="s">
        <v>13097</v>
      </c>
      <c r="E2026" s="40" t="s">
        <v>13397</v>
      </c>
      <c r="F2026" s="38" t="s">
        <v>9167</v>
      </c>
      <c r="G2026" s="34" t="s">
        <v>9676</v>
      </c>
      <c r="I2026" s="44" t="s">
        <v>13367</v>
      </c>
      <c r="J2026" s="36" t="s">
        <v>1522</v>
      </c>
    </row>
    <row r="2027" spans="1:10" x14ac:dyDescent="0.25">
      <c r="A2027" s="31" t="s">
        <v>1534</v>
      </c>
      <c r="B2027" s="31">
        <v>51.17</v>
      </c>
      <c r="C2027" s="32" t="s">
        <v>13398</v>
      </c>
      <c r="D2027" s="31" t="s">
        <v>13097</v>
      </c>
      <c r="E2027" s="40" t="s">
        <v>9677</v>
      </c>
      <c r="F2027" s="38" t="s">
        <v>9167</v>
      </c>
      <c r="G2027" s="34" t="s">
        <v>9677</v>
      </c>
      <c r="H2027" s="34" t="s">
        <v>9677</v>
      </c>
      <c r="I2027" s="35" t="s">
        <v>13398</v>
      </c>
      <c r="J2027" s="36" t="s">
        <v>1534</v>
      </c>
    </row>
    <row r="2028" spans="1:10" x14ac:dyDescent="0.25">
      <c r="A2028" s="31" t="s">
        <v>1534</v>
      </c>
      <c r="B2028" s="31">
        <v>51.170099999999998</v>
      </c>
      <c r="C2028" s="32" t="s">
        <v>13399</v>
      </c>
      <c r="D2028" s="31" t="s">
        <v>13097</v>
      </c>
      <c r="E2028" s="40" t="s">
        <v>13400</v>
      </c>
      <c r="F2028" s="38" t="s">
        <v>9167</v>
      </c>
      <c r="G2028" s="34" t="s">
        <v>9677</v>
      </c>
      <c r="I2028" s="35" t="s">
        <v>13398</v>
      </c>
      <c r="J2028" s="36" t="s">
        <v>1534</v>
      </c>
    </row>
    <row r="2029" spans="1:10" x14ac:dyDescent="0.25">
      <c r="A2029" s="31" t="s">
        <v>1535</v>
      </c>
      <c r="B2029" s="31">
        <v>51.18</v>
      </c>
      <c r="C2029" s="32" t="s">
        <v>13401</v>
      </c>
      <c r="D2029" s="31" t="s">
        <v>13097</v>
      </c>
      <c r="E2029" s="40" t="s">
        <v>9678</v>
      </c>
      <c r="F2029" s="38" t="s">
        <v>9167</v>
      </c>
      <c r="G2029" s="34" t="s">
        <v>9678</v>
      </c>
      <c r="H2029" s="34" t="s">
        <v>9678</v>
      </c>
      <c r="I2029" s="35" t="s">
        <v>13401</v>
      </c>
      <c r="J2029" s="36" t="s">
        <v>1535</v>
      </c>
    </row>
    <row r="2030" spans="1:10" x14ac:dyDescent="0.25">
      <c r="A2030" s="31" t="s">
        <v>1536</v>
      </c>
      <c r="B2030" s="31">
        <v>51.180100000000003</v>
      </c>
      <c r="C2030" s="32" t="s">
        <v>13402</v>
      </c>
      <c r="D2030" s="31" t="s">
        <v>13097</v>
      </c>
      <c r="E2030" s="40" t="s">
        <v>13403</v>
      </c>
      <c r="F2030" s="38" t="s">
        <v>9167</v>
      </c>
      <c r="G2030" s="34" t="s">
        <v>9678</v>
      </c>
      <c r="I2030" s="35" t="s">
        <v>13401</v>
      </c>
      <c r="J2030" s="36" t="s">
        <v>1536</v>
      </c>
    </row>
    <row r="2031" spans="1:10" x14ac:dyDescent="0.25">
      <c r="A2031" s="31" t="s">
        <v>1537</v>
      </c>
      <c r="B2031" s="31">
        <v>51.180199999999999</v>
      </c>
      <c r="C2031" s="32" t="s">
        <v>13404</v>
      </c>
      <c r="D2031" s="31" t="s">
        <v>13097</v>
      </c>
      <c r="E2031" s="40" t="s">
        <v>13405</v>
      </c>
      <c r="F2031" s="38" t="s">
        <v>9167</v>
      </c>
      <c r="G2031" s="34" t="s">
        <v>9678</v>
      </c>
      <c r="I2031" s="35" t="s">
        <v>13401</v>
      </c>
      <c r="J2031" s="36" t="s">
        <v>1537</v>
      </c>
    </row>
    <row r="2032" spans="1:10" x14ac:dyDescent="0.25">
      <c r="A2032" s="31" t="s">
        <v>1538</v>
      </c>
      <c r="B2032" s="31">
        <v>51.180300000000003</v>
      </c>
      <c r="C2032" s="32" t="s">
        <v>13406</v>
      </c>
      <c r="D2032" s="31" t="s">
        <v>13097</v>
      </c>
      <c r="E2032" s="40" t="s">
        <v>13407</v>
      </c>
      <c r="F2032" s="38" t="s">
        <v>9167</v>
      </c>
      <c r="G2032" s="34" t="s">
        <v>9678</v>
      </c>
      <c r="I2032" s="35" t="s">
        <v>13401</v>
      </c>
      <c r="J2032" s="36" t="s">
        <v>1538</v>
      </c>
    </row>
    <row r="2033" spans="1:10" x14ac:dyDescent="0.25">
      <c r="A2033" s="31" t="s">
        <v>1539</v>
      </c>
      <c r="B2033" s="31">
        <v>51.180399999999999</v>
      </c>
      <c r="C2033" s="32" t="s">
        <v>13408</v>
      </c>
      <c r="D2033" s="31" t="s">
        <v>13097</v>
      </c>
      <c r="E2033" s="40" t="s">
        <v>13409</v>
      </c>
      <c r="F2033" s="38" t="s">
        <v>9167</v>
      </c>
      <c r="G2033" s="34" t="s">
        <v>9678</v>
      </c>
      <c r="I2033" s="35" t="s">
        <v>13401</v>
      </c>
      <c r="J2033" s="36" t="s">
        <v>1539</v>
      </c>
    </row>
    <row r="2034" spans="1:10" x14ac:dyDescent="0.25">
      <c r="A2034" s="31" t="s">
        <v>1540</v>
      </c>
      <c r="B2034" s="31">
        <v>51.189900000000002</v>
      </c>
      <c r="C2034" s="32" t="s">
        <v>13410</v>
      </c>
      <c r="D2034" s="31" t="s">
        <v>13097</v>
      </c>
      <c r="E2034" s="40" t="s">
        <v>13411</v>
      </c>
      <c r="F2034" s="38" t="s">
        <v>9167</v>
      </c>
      <c r="G2034" s="34" t="s">
        <v>9678</v>
      </c>
      <c r="I2034" s="35" t="s">
        <v>13401</v>
      </c>
      <c r="J2034" s="36" t="s">
        <v>1540</v>
      </c>
    </row>
    <row r="2035" spans="1:10" x14ac:dyDescent="0.25">
      <c r="A2035" s="31" t="s">
        <v>1541</v>
      </c>
      <c r="B2035" s="31">
        <v>51.19</v>
      </c>
      <c r="C2035" s="32" t="s">
        <v>13412</v>
      </c>
      <c r="D2035" s="31" t="s">
        <v>13097</v>
      </c>
      <c r="E2035" s="40" t="s">
        <v>9679</v>
      </c>
      <c r="F2035" s="38" t="s">
        <v>9167</v>
      </c>
      <c r="G2035" s="34" t="s">
        <v>9679</v>
      </c>
      <c r="H2035" s="34" t="s">
        <v>9679</v>
      </c>
      <c r="I2035" s="35" t="s">
        <v>13412</v>
      </c>
      <c r="J2035" s="36" t="s">
        <v>1541</v>
      </c>
    </row>
    <row r="2036" spans="1:10" x14ac:dyDescent="0.25">
      <c r="A2036" s="31" t="s">
        <v>1541</v>
      </c>
      <c r="B2036" s="31">
        <v>51.190100000000001</v>
      </c>
      <c r="C2036" s="32" t="s">
        <v>13413</v>
      </c>
      <c r="D2036" s="31" t="s">
        <v>13097</v>
      </c>
      <c r="E2036" s="40" t="s">
        <v>13414</v>
      </c>
      <c r="F2036" s="38" t="s">
        <v>9167</v>
      </c>
      <c r="G2036" s="34" t="s">
        <v>9679</v>
      </c>
      <c r="I2036" s="35" t="s">
        <v>13412</v>
      </c>
      <c r="J2036" s="36" t="s">
        <v>1541</v>
      </c>
    </row>
    <row r="2037" spans="1:10" x14ac:dyDescent="0.25">
      <c r="A2037" s="31" t="s">
        <v>1542</v>
      </c>
      <c r="B2037" s="31">
        <v>51.2</v>
      </c>
      <c r="C2037" s="32" t="s">
        <v>13415</v>
      </c>
      <c r="D2037" s="31" t="s">
        <v>13097</v>
      </c>
      <c r="E2037" s="40" t="s">
        <v>13416</v>
      </c>
      <c r="F2037" s="38" t="s">
        <v>9167</v>
      </c>
      <c r="G2037" s="34" t="s">
        <v>13416</v>
      </c>
      <c r="H2037" s="34" t="s">
        <v>9680</v>
      </c>
      <c r="I2037" s="44" t="s">
        <v>13415</v>
      </c>
      <c r="J2037" s="36" t="s">
        <v>1542</v>
      </c>
    </row>
    <row r="2038" spans="1:10" x14ac:dyDescent="0.25">
      <c r="A2038" s="31" t="s">
        <v>1543</v>
      </c>
      <c r="B2038" s="31">
        <v>51.200099999999999</v>
      </c>
      <c r="C2038" s="32" t="s">
        <v>13417</v>
      </c>
      <c r="D2038" s="31" t="s">
        <v>13097</v>
      </c>
      <c r="E2038" s="40" t="s">
        <v>13418</v>
      </c>
      <c r="F2038" s="38" t="s">
        <v>9167</v>
      </c>
      <c r="G2038" s="34" t="s">
        <v>13416</v>
      </c>
      <c r="I2038" s="44" t="s">
        <v>13415</v>
      </c>
      <c r="J2038" s="36" t="s">
        <v>1543</v>
      </c>
    </row>
    <row r="2039" spans="1:10" x14ac:dyDescent="0.25">
      <c r="A2039" s="31" t="s">
        <v>1544</v>
      </c>
      <c r="B2039" s="31">
        <v>51.200200000000002</v>
      </c>
      <c r="C2039" s="32" t="s">
        <v>13419</v>
      </c>
      <c r="D2039" s="31" t="s">
        <v>13097</v>
      </c>
      <c r="E2039" s="40" t="s">
        <v>13420</v>
      </c>
      <c r="F2039" s="38" t="s">
        <v>9167</v>
      </c>
      <c r="G2039" s="34" t="s">
        <v>13416</v>
      </c>
      <c r="I2039" s="44" t="s">
        <v>13415</v>
      </c>
      <c r="J2039" s="36" t="s">
        <v>1544</v>
      </c>
    </row>
    <row r="2040" spans="1:10" x14ac:dyDescent="0.25">
      <c r="A2040" s="31" t="s">
        <v>1545</v>
      </c>
      <c r="B2040" s="31">
        <v>51.200299999999999</v>
      </c>
      <c r="C2040" s="32" t="s">
        <v>13421</v>
      </c>
      <c r="D2040" s="31" t="s">
        <v>13097</v>
      </c>
      <c r="E2040" s="40" t="s">
        <v>13422</v>
      </c>
      <c r="F2040" s="38" t="s">
        <v>9167</v>
      </c>
      <c r="G2040" s="34" t="s">
        <v>13416</v>
      </c>
      <c r="I2040" s="44" t="s">
        <v>13415</v>
      </c>
      <c r="J2040" s="36" t="s">
        <v>1545</v>
      </c>
    </row>
    <row r="2041" spans="1:10" x14ac:dyDescent="0.25">
      <c r="A2041" s="31" t="s">
        <v>1546</v>
      </c>
      <c r="B2041" s="31">
        <v>51.200400000000002</v>
      </c>
      <c r="C2041" s="32" t="s">
        <v>13423</v>
      </c>
      <c r="D2041" s="31" t="s">
        <v>13097</v>
      </c>
      <c r="E2041" s="40" t="s">
        <v>13424</v>
      </c>
      <c r="F2041" s="38" t="s">
        <v>9167</v>
      </c>
      <c r="G2041" s="34" t="s">
        <v>13416</v>
      </c>
      <c r="I2041" s="44" t="s">
        <v>13415</v>
      </c>
      <c r="J2041" s="36" t="s">
        <v>1546</v>
      </c>
    </row>
    <row r="2042" spans="1:10" x14ac:dyDescent="0.25">
      <c r="A2042" s="31" t="s">
        <v>1547</v>
      </c>
      <c r="B2042" s="31">
        <v>51.200499999999998</v>
      </c>
      <c r="C2042" s="32" t="s">
        <v>13425</v>
      </c>
      <c r="D2042" s="31" t="s">
        <v>13097</v>
      </c>
      <c r="E2042" s="40" t="s">
        <v>13426</v>
      </c>
      <c r="F2042" s="38" t="s">
        <v>9167</v>
      </c>
      <c r="G2042" s="34" t="s">
        <v>13416</v>
      </c>
      <c r="I2042" s="44" t="s">
        <v>13415</v>
      </c>
      <c r="J2042" s="36" t="s">
        <v>1547</v>
      </c>
    </row>
    <row r="2043" spans="1:10" x14ac:dyDescent="0.25">
      <c r="A2043" s="31" t="s">
        <v>1548</v>
      </c>
      <c r="B2043" s="31">
        <v>51.200600000000001</v>
      </c>
      <c r="C2043" s="32" t="s">
        <v>13427</v>
      </c>
      <c r="D2043" s="31" t="s">
        <v>13097</v>
      </c>
      <c r="E2043" s="40" t="s">
        <v>13428</v>
      </c>
      <c r="F2043" s="38" t="s">
        <v>9167</v>
      </c>
      <c r="G2043" s="34" t="s">
        <v>13416</v>
      </c>
      <c r="I2043" s="44" t="s">
        <v>13415</v>
      </c>
      <c r="J2043" s="36" t="s">
        <v>1548</v>
      </c>
    </row>
    <row r="2044" spans="1:10" x14ac:dyDescent="0.25">
      <c r="A2044" s="31" t="s">
        <v>1549</v>
      </c>
      <c r="B2044" s="31">
        <v>51.200699999999998</v>
      </c>
      <c r="C2044" s="32" t="s">
        <v>13429</v>
      </c>
      <c r="D2044" s="31" t="s">
        <v>13097</v>
      </c>
      <c r="E2044" s="40" t="s">
        <v>13430</v>
      </c>
      <c r="F2044" s="38" t="s">
        <v>9167</v>
      </c>
      <c r="G2044" s="34" t="s">
        <v>13416</v>
      </c>
      <c r="I2044" s="44" t="s">
        <v>13415</v>
      </c>
      <c r="J2044" s="36" t="s">
        <v>1549</v>
      </c>
    </row>
    <row r="2045" spans="1:10" x14ac:dyDescent="0.25">
      <c r="A2045" s="31" t="s">
        <v>1550</v>
      </c>
      <c r="B2045" s="31">
        <v>51.200800000000001</v>
      </c>
      <c r="C2045" s="32" t="s">
        <v>13431</v>
      </c>
      <c r="D2045" s="31" t="s">
        <v>13097</v>
      </c>
      <c r="E2045" s="40" t="s">
        <v>13432</v>
      </c>
      <c r="F2045" s="38" t="s">
        <v>9167</v>
      </c>
      <c r="G2045" s="34" t="s">
        <v>13416</v>
      </c>
      <c r="I2045" s="44" t="s">
        <v>13415</v>
      </c>
      <c r="J2045" s="36" t="s">
        <v>1550</v>
      </c>
    </row>
    <row r="2046" spans="1:10" x14ac:dyDescent="0.25">
      <c r="A2046" s="31" t="s">
        <v>1551</v>
      </c>
      <c r="B2046" s="31">
        <v>51.200899999999997</v>
      </c>
      <c r="C2046" s="32" t="s">
        <v>13433</v>
      </c>
      <c r="D2046" s="31" t="s">
        <v>13097</v>
      </c>
      <c r="E2046" s="40" t="s">
        <v>13434</v>
      </c>
      <c r="F2046" s="38" t="s">
        <v>9167</v>
      </c>
      <c r="G2046" s="34" t="s">
        <v>13416</v>
      </c>
      <c r="I2046" s="44" t="s">
        <v>13415</v>
      </c>
      <c r="J2046" s="36" t="s">
        <v>1551</v>
      </c>
    </row>
    <row r="2047" spans="1:10" x14ac:dyDescent="0.25">
      <c r="A2047" s="31" t="s">
        <v>1552</v>
      </c>
      <c r="B2047" s="31">
        <v>51.201000000000001</v>
      </c>
      <c r="C2047" s="32" t="s">
        <v>13435</v>
      </c>
      <c r="D2047" s="31" t="s">
        <v>13097</v>
      </c>
      <c r="E2047" s="40" t="s">
        <v>13436</v>
      </c>
      <c r="F2047" s="38" t="s">
        <v>9167</v>
      </c>
      <c r="G2047" s="34" t="s">
        <v>13416</v>
      </c>
      <c r="I2047" s="44" t="s">
        <v>13415</v>
      </c>
      <c r="J2047" s="36" t="s">
        <v>1552</v>
      </c>
    </row>
    <row r="2048" spans="1:10" x14ac:dyDescent="0.25">
      <c r="A2048" s="31" t="s">
        <v>1553</v>
      </c>
      <c r="B2048" s="31">
        <v>51.201099999999997</v>
      </c>
      <c r="C2048" s="32" t="s">
        <v>13437</v>
      </c>
      <c r="D2048" s="31" t="s">
        <v>13097</v>
      </c>
      <c r="E2048" s="40" t="s">
        <v>13438</v>
      </c>
      <c r="F2048" s="38" t="s">
        <v>9167</v>
      </c>
      <c r="G2048" s="34" t="s">
        <v>13416</v>
      </c>
      <c r="I2048" s="44" t="s">
        <v>13415</v>
      </c>
      <c r="J2048" s="36" t="s">
        <v>1553</v>
      </c>
    </row>
    <row r="2049" spans="1:10" x14ac:dyDescent="0.25">
      <c r="A2049" s="31" t="s">
        <v>1554</v>
      </c>
      <c r="B2049" s="31">
        <v>51.209899999999998</v>
      </c>
      <c r="C2049" s="32" t="s">
        <v>13439</v>
      </c>
      <c r="D2049" s="31" t="s">
        <v>13097</v>
      </c>
      <c r="E2049" s="40" t="s">
        <v>13440</v>
      </c>
      <c r="F2049" s="38" t="s">
        <v>9167</v>
      </c>
      <c r="G2049" s="34" t="s">
        <v>13416</v>
      </c>
      <c r="I2049" s="44" t="s">
        <v>13415</v>
      </c>
      <c r="J2049" s="36" t="s">
        <v>1554</v>
      </c>
    </row>
    <row r="2050" spans="1:10" x14ac:dyDescent="0.25">
      <c r="A2050" s="31" t="s">
        <v>1555</v>
      </c>
      <c r="B2050" s="31">
        <v>51.21</v>
      </c>
      <c r="C2050" s="32" t="s">
        <v>13441</v>
      </c>
      <c r="D2050" s="31" t="s">
        <v>13097</v>
      </c>
      <c r="E2050" s="40" t="s">
        <v>9681</v>
      </c>
      <c r="F2050" s="38" t="s">
        <v>9167</v>
      </c>
      <c r="G2050" s="34" t="s">
        <v>9681</v>
      </c>
      <c r="H2050" s="34" t="s">
        <v>9681</v>
      </c>
      <c r="I2050" s="35" t="s">
        <v>13441</v>
      </c>
      <c r="J2050" s="36" t="s">
        <v>1555</v>
      </c>
    </row>
    <row r="2051" spans="1:10" x14ac:dyDescent="0.25">
      <c r="A2051" s="31" t="s">
        <v>1555</v>
      </c>
      <c r="B2051" s="31">
        <v>51.210099999999997</v>
      </c>
      <c r="C2051" s="32" t="s">
        <v>13442</v>
      </c>
      <c r="D2051" s="31" t="s">
        <v>13097</v>
      </c>
      <c r="E2051" s="40" t="s">
        <v>13443</v>
      </c>
      <c r="F2051" s="38" t="s">
        <v>9167</v>
      </c>
      <c r="G2051" s="34" t="s">
        <v>9681</v>
      </c>
      <c r="I2051" s="35" t="s">
        <v>13441</v>
      </c>
      <c r="J2051" s="36" t="s">
        <v>1555</v>
      </c>
    </row>
    <row r="2052" spans="1:10" x14ac:dyDescent="0.25">
      <c r="A2052" s="31" t="s">
        <v>1556</v>
      </c>
      <c r="B2052" s="31">
        <v>51.22</v>
      </c>
      <c r="C2052" s="32" t="s">
        <v>13444</v>
      </c>
      <c r="D2052" s="31" t="s">
        <v>13097</v>
      </c>
      <c r="E2052" s="40" t="s">
        <v>9682</v>
      </c>
      <c r="F2052" s="38" t="s">
        <v>9167</v>
      </c>
      <c r="G2052" s="34" t="s">
        <v>9682</v>
      </c>
      <c r="H2052" s="34" t="s">
        <v>9682</v>
      </c>
      <c r="I2052" s="44" t="s">
        <v>13444</v>
      </c>
      <c r="J2052" s="36" t="s">
        <v>1556</v>
      </c>
    </row>
    <row r="2053" spans="1:10" x14ac:dyDescent="0.25">
      <c r="A2053" s="31" t="s">
        <v>1557</v>
      </c>
      <c r="B2053" s="31">
        <v>51.220100000000002</v>
      </c>
      <c r="C2053" s="32" t="s">
        <v>13445</v>
      </c>
      <c r="D2053" s="31" t="s">
        <v>13097</v>
      </c>
      <c r="E2053" s="40" t="s">
        <v>13446</v>
      </c>
      <c r="F2053" s="38" t="s">
        <v>9167</v>
      </c>
      <c r="G2053" s="34" t="s">
        <v>9682</v>
      </c>
      <c r="I2053" s="44" t="s">
        <v>13444</v>
      </c>
      <c r="J2053" s="36" t="s">
        <v>1557</v>
      </c>
    </row>
    <row r="2054" spans="1:10" x14ac:dyDescent="0.25">
      <c r="A2054" s="31" t="s">
        <v>1558</v>
      </c>
      <c r="B2054" s="31">
        <v>51.220199999999998</v>
      </c>
      <c r="C2054" s="32" t="s">
        <v>13447</v>
      </c>
      <c r="D2054" s="31" t="s">
        <v>13097</v>
      </c>
      <c r="E2054" s="40" t="s">
        <v>13448</v>
      </c>
      <c r="F2054" s="38" t="s">
        <v>9167</v>
      </c>
      <c r="G2054" s="34" t="s">
        <v>9682</v>
      </c>
      <c r="I2054" s="44" t="s">
        <v>13444</v>
      </c>
      <c r="J2054" s="36" t="s">
        <v>1558</v>
      </c>
    </row>
    <row r="2055" spans="1:10" x14ac:dyDescent="0.25">
      <c r="A2055" s="31" t="s">
        <v>1559</v>
      </c>
      <c r="B2055" s="31">
        <v>51.220500000000001</v>
      </c>
      <c r="C2055" s="32" t="s">
        <v>13449</v>
      </c>
      <c r="D2055" s="31" t="s">
        <v>13097</v>
      </c>
      <c r="E2055" s="40" t="s">
        <v>13450</v>
      </c>
      <c r="F2055" s="38" t="s">
        <v>9167</v>
      </c>
      <c r="G2055" s="34" t="s">
        <v>9682</v>
      </c>
      <c r="I2055" s="44" t="s">
        <v>13444</v>
      </c>
      <c r="J2055" s="36" t="s">
        <v>1559</v>
      </c>
    </row>
    <row r="2056" spans="1:10" x14ac:dyDescent="0.25">
      <c r="A2056" s="31" t="s">
        <v>1560</v>
      </c>
      <c r="B2056" s="31">
        <v>51.220599999999997</v>
      </c>
      <c r="C2056" s="32" t="s">
        <v>13451</v>
      </c>
      <c r="D2056" s="31" t="s">
        <v>13097</v>
      </c>
      <c r="E2056" s="40" t="s">
        <v>13452</v>
      </c>
      <c r="F2056" s="38" t="s">
        <v>9167</v>
      </c>
      <c r="G2056" s="34" t="s">
        <v>9682</v>
      </c>
      <c r="I2056" s="44" t="s">
        <v>13444</v>
      </c>
      <c r="J2056" s="36" t="s">
        <v>1560</v>
      </c>
    </row>
    <row r="2057" spans="1:10" x14ac:dyDescent="0.25">
      <c r="A2057" s="31" t="s">
        <v>1561</v>
      </c>
      <c r="B2057" s="31">
        <v>51.220700000000001</v>
      </c>
      <c r="C2057" s="32" t="s">
        <v>13453</v>
      </c>
      <c r="D2057" s="31" t="s">
        <v>13097</v>
      </c>
      <c r="E2057" s="40" t="s">
        <v>13454</v>
      </c>
      <c r="F2057" s="38" t="s">
        <v>9167</v>
      </c>
      <c r="G2057" s="34" t="s">
        <v>9682</v>
      </c>
      <c r="I2057" s="44" t="s">
        <v>13444</v>
      </c>
      <c r="J2057" s="36" t="s">
        <v>1561</v>
      </c>
    </row>
    <row r="2058" spans="1:10" x14ac:dyDescent="0.25">
      <c r="A2058" s="31" t="s">
        <v>1562</v>
      </c>
      <c r="B2058" s="31">
        <v>51.220799999999997</v>
      </c>
      <c r="C2058" s="32" t="s">
        <v>13455</v>
      </c>
      <c r="D2058" s="31" t="s">
        <v>13097</v>
      </c>
      <c r="E2058" s="40" t="s">
        <v>13456</v>
      </c>
      <c r="F2058" s="38" t="s">
        <v>9167</v>
      </c>
      <c r="G2058" s="34" t="s">
        <v>9682</v>
      </c>
      <c r="I2058" s="44" t="s">
        <v>13444</v>
      </c>
      <c r="J2058" s="36" t="s">
        <v>1562</v>
      </c>
    </row>
    <row r="2059" spans="1:10" x14ac:dyDescent="0.25">
      <c r="A2059" s="31" t="s">
        <v>1563</v>
      </c>
      <c r="B2059" s="31">
        <v>51.2209</v>
      </c>
      <c r="C2059" s="32" t="s">
        <v>13457</v>
      </c>
      <c r="D2059" s="31" t="s">
        <v>13097</v>
      </c>
      <c r="E2059" s="40" t="s">
        <v>13458</v>
      </c>
      <c r="F2059" s="38" t="s">
        <v>9167</v>
      </c>
      <c r="G2059" s="34" t="s">
        <v>9682</v>
      </c>
      <c r="I2059" s="44" t="s">
        <v>13444</v>
      </c>
      <c r="J2059" s="36" t="s">
        <v>1563</v>
      </c>
    </row>
    <row r="2060" spans="1:10" x14ac:dyDescent="0.25">
      <c r="A2060" s="31" t="s">
        <v>1564</v>
      </c>
      <c r="B2060" s="31">
        <v>51.220999999999997</v>
      </c>
      <c r="C2060" s="32" t="s">
        <v>13459</v>
      </c>
      <c r="D2060" s="31" t="s">
        <v>13097</v>
      </c>
      <c r="E2060" s="40" t="s">
        <v>13460</v>
      </c>
      <c r="F2060" s="38" t="s">
        <v>9167</v>
      </c>
      <c r="G2060" s="34" t="s">
        <v>9682</v>
      </c>
      <c r="I2060" s="44" t="s">
        <v>13444</v>
      </c>
      <c r="J2060" s="36" t="s">
        <v>1564</v>
      </c>
    </row>
    <row r="2061" spans="1:10" x14ac:dyDescent="0.25">
      <c r="A2061" s="31" t="s">
        <v>1565</v>
      </c>
      <c r="B2061" s="31">
        <v>51.2211</v>
      </c>
      <c r="C2061" s="32" t="s">
        <v>13461</v>
      </c>
      <c r="D2061" s="31" t="s">
        <v>13097</v>
      </c>
      <c r="E2061" s="40" t="s">
        <v>13462</v>
      </c>
      <c r="F2061" s="38" t="s">
        <v>9167</v>
      </c>
      <c r="G2061" s="34" t="s">
        <v>9682</v>
      </c>
      <c r="I2061" s="44" t="s">
        <v>13444</v>
      </c>
      <c r="J2061" s="36" t="s">
        <v>1565</v>
      </c>
    </row>
    <row r="2062" spans="1:10" x14ac:dyDescent="0.25">
      <c r="A2062" s="31" t="s">
        <v>1566</v>
      </c>
      <c r="B2062" s="31">
        <v>51.221200000000003</v>
      </c>
      <c r="C2062" s="32" t="s">
        <v>13463</v>
      </c>
      <c r="D2062" s="31" t="s">
        <v>13097</v>
      </c>
      <c r="E2062" s="40" t="s">
        <v>13464</v>
      </c>
      <c r="F2062" s="38" t="s">
        <v>9167</v>
      </c>
      <c r="G2062" s="34" t="s">
        <v>9682</v>
      </c>
      <c r="I2062" s="44" t="s">
        <v>13444</v>
      </c>
      <c r="J2062" s="36" t="s">
        <v>1566</v>
      </c>
    </row>
    <row r="2063" spans="1:10" x14ac:dyDescent="0.25">
      <c r="A2063" s="31" t="s">
        <v>2137</v>
      </c>
      <c r="B2063" s="31">
        <v>51.221299999999999</v>
      </c>
      <c r="C2063" s="32" t="s">
        <v>13465</v>
      </c>
      <c r="D2063" s="31" t="s">
        <v>13097</v>
      </c>
      <c r="E2063" s="40" t="s">
        <v>13466</v>
      </c>
      <c r="F2063" s="38" t="s">
        <v>9167</v>
      </c>
      <c r="G2063" s="34" t="s">
        <v>9682</v>
      </c>
      <c r="I2063" s="44" t="s">
        <v>13444</v>
      </c>
      <c r="J2063" s="36" t="s">
        <v>2137</v>
      </c>
    </row>
    <row r="2064" spans="1:10" x14ac:dyDescent="0.25">
      <c r="A2064" s="31" t="s">
        <v>2138</v>
      </c>
      <c r="B2064" s="31">
        <v>51.221400000000003</v>
      </c>
      <c r="C2064" s="32" t="s">
        <v>13467</v>
      </c>
      <c r="D2064" s="31" t="s">
        <v>13097</v>
      </c>
      <c r="E2064" s="40" t="s">
        <v>13468</v>
      </c>
      <c r="F2064" s="38" t="s">
        <v>9167</v>
      </c>
      <c r="G2064" s="34" t="s">
        <v>9682</v>
      </c>
      <c r="I2064" s="44" t="s">
        <v>13444</v>
      </c>
      <c r="J2064" s="36" t="s">
        <v>2138</v>
      </c>
    </row>
    <row r="2065" spans="1:10" x14ac:dyDescent="0.25">
      <c r="A2065" s="31" t="s">
        <v>1793</v>
      </c>
      <c r="B2065" s="31">
        <v>51.228000000000002</v>
      </c>
      <c r="C2065" s="32" t="s">
        <v>13469</v>
      </c>
      <c r="D2065" s="31" t="s">
        <v>13097</v>
      </c>
      <c r="E2065" s="40" t="s">
        <v>13470</v>
      </c>
      <c r="F2065" s="38" t="s">
        <v>9167</v>
      </c>
      <c r="G2065" s="34" t="s">
        <v>9682</v>
      </c>
      <c r="I2065" s="44" t="s">
        <v>13444</v>
      </c>
      <c r="J2065" s="36" t="s">
        <v>1793</v>
      </c>
    </row>
    <row r="2066" spans="1:10" x14ac:dyDescent="0.25">
      <c r="A2066" s="31" t="s">
        <v>1567</v>
      </c>
      <c r="B2066" s="31">
        <v>51.229900000000001</v>
      </c>
      <c r="C2066" s="32" t="s">
        <v>13471</v>
      </c>
      <c r="D2066" s="31" t="s">
        <v>13097</v>
      </c>
      <c r="E2066" s="40" t="s">
        <v>13472</v>
      </c>
      <c r="F2066" s="38" t="s">
        <v>9167</v>
      </c>
      <c r="G2066" s="34" t="s">
        <v>9682</v>
      </c>
      <c r="I2066" s="44" t="s">
        <v>13444</v>
      </c>
      <c r="J2066" s="36" t="s">
        <v>1567</v>
      </c>
    </row>
    <row r="2067" spans="1:10" x14ac:dyDescent="0.25">
      <c r="A2067" s="31" t="s">
        <v>2139</v>
      </c>
      <c r="B2067" s="31">
        <v>51.23</v>
      </c>
      <c r="C2067" s="32" t="s">
        <v>13473</v>
      </c>
      <c r="D2067" s="31" t="s">
        <v>13097</v>
      </c>
      <c r="E2067" s="40" t="s">
        <v>13474</v>
      </c>
      <c r="F2067" s="38" t="s">
        <v>9167</v>
      </c>
      <c r="G2067" s="34" t="s">
        <v>9683</v>
      </c>
      <c r="I2067" s="44" t="s">
        <v>13475</v>
      </c>
      <c r="J2067" s="36" t="s">
        <v>2139</v>
      </c>
    </row>
    <row r="2068" spans="1:10" x14ac:dyDescent="0.25">
      <c r="A2068" s="31" t="s">
        <v>1568</v>
      </c>
      <c r="B2068" s="31">
        <v>51.23</v>
      </c>
      <c r="C2068" s="32" t="s">
        <v>13475</v>
      </c>
      <c r="D2068" s="31" t="s">
        <v>13097</v>
      </c>
      <c r="E2068" s="40" t="s">
        <v>9683</v>
      </c>
      <c r="F2068" s="38" t="s">
        <v>9167</v>
      </c>
      <c r="G2068" s="34" t="s">
        <v>9683</v>
      </c>
      <c r="H2068" s="34" t="s">
        <v>9683</v>
      </c>
      <c r="I2068" s="44" t="s">
        <v>13475</v>
      </c>
      <c r="J2068" s="36" t="s">
        <v>1568</v>
      </c>
    </row>
    <row r="2069" spans="1:10" x14ac:dyDescent="0.25">
      <c r="A2069" s="31" t="s">
        <v>1569</v>
      </c>
      <c r="B2069" s="31">
        <v>51.2301</v>
      </c>
      <c r="C2069" s="32" t="s">
        <v>13476</v>
      </c>
      <c r="D2069" s="31" t="s">
        <v>13097</v>
      </c>
      <c r="E2069" s="40" t="s">
        <v>13477</v>
      </c>
      <c r="F2069" s="38" t="s">
        <v>9167</v>
      </c>
      <c r="G2069" s="34" t="s">
        <v>9683</v>
      </c>
      <c r="I2069" s="44" t="s">
        <v>13475</v>
      </c>
      <c r="J2069" s="36" t="s">
        <v>1569</v>
      </c>
    </row>
    <row r="2070" spans="1:10" x14ac:dyDescent="0.25">
      <c r="A2070" s="31" t="s">
        <v>1570</v>
      </c>
      <c r="B2070" s="31">
        <v>51.230200000000004</v>
      </c>
      <c r="C2070" s="32" t="s">
        <v>13478</v>
      </c>
      <c r="D2070" s="31" t="s">
        <v>13097</v>
      </c>
      <c r="E2070" s="40" t="s">
        <v>13479</v>
      </c>
      <c r="F2070" s="38" t="s">
        <v>9167</v>
      </c>
      <c r="G2070" s="34" t="s">
        <v>9683</v>
      </c>
      <c r="I2070" s="44" t="s">
        <v>13475</v>
      </c>
      <c r="J2070" s="36" t="s">
        <v>1570</v>
      </c>
    </row>
    <row r="2071" spans="1:10" x14ac:dyDescent="0.25">
      <c r="A2071" s="31" t="s">
        <v>1571</v>
      </c>
      <c r="B2071" s="31">
        <v>51.230499999999999</v>
      </c>
      <c r="C2071" s="32" t="s">
        <v>13480</v>
      </c>
      <c r="D2071" s="31" t="s">
        <v>13097</v>
      </c>
      <c r="E2071" s="40" t="s">
        <v>13481</v>
      </c>
      <c r="F2071" s="38" t="s">
        <v>9167</v>
      </c>
      <c r="G2071" s="34" t="s">
        <v>9683</v>
      </c>
      <c r="I2071" s="44" t="s">
        <v>13475</v>
      </c>
      <c r="J2071" s="36" t="s">
        <v>1571</v>
      </c>
    </row>
    <row r="2072" spans="1:10" x14ac:dyDescent="0.25">
      <c r="A2072" s="31" t="s">
        <v>1572</v>
      </c>
      <c r="B2072" s="31">
        <v>51.230600000000003</v>
      </c>
      <c r="C2072" s="32" t="s">
        <v>13482</v>
      </c>
      <c r="D2072" s="31" t="s">
        <v>13097</v>
      </c>
      <c r="E2072" s="40" t="s">
        <v>13483</v>
      </c>
      <c r="F2072" s="38" t="s">
        <v>9167</v>
      </c>
      <c r="G2072" s="34" t="s">
        <v>9683</v>
      </c>
      <c r="I2072" s="44" t="s">
        <v>13475</v>
      </c>
      <c r="J2072" s="36" t="s">
        <v>1572</v>
      </c>
    </row>
    <row r="2073" spans="1:10" x14ac:dyDescent="0.25">
      <c r="A2073" s="31" t="s">
        <v>1573</v>
      </c>
      <c r="B2073" s="31">
        <v>51.230699999999999</v>
      </c>
      <c r="C2073" s="32" t="s">
        <v>13484</v>
      </c>
      <c r="D2073" s="31" t="s">
        <v>13097</v>
      </c>
      <c r="E2073" s="40" t="s">
        <v>13485</v>
      </c>
      <c r="F2073" s="38" t="s">
        <v>9167</v>
      </c>
      <c r="G2073" s="34" t="s">
        <v>9683</v>
      </c>
      <c r="I2073" s="44" t="s">
        <v>13475</v>
      </c>
      <c r="J2073" s="36" t="s">
        <v>1573</v>
      </c>
    </row>
    <row r="2074" spans="1:10" x14ac:dyDescent="0.25">
      <c r="A2074" s="31" t="s">
        <v>1574</v>
      </c>
      <c r="B2074" s="31">
        <v>51.230800000000002</v>
      </c>
      <c r="C2074" s="32" t="s">
        <v>13486</v>
      </c>
      <c r="D2074" s="31" t="s">
        <v>13097</v>
      </c>
      <c r="E2074" s="40" t="s">
        <v>13487</v>
      </c>
      <c r="F2074" s="38" t="s">
        <v>9167</v>
      </c>
      <c r="G2074" s="34" t="s">
        <v>9683</v>
      </c>
      <c r="I2074" s="44" t="s">
        <v>13475</v>
      </c>
      <c r="J2074" s="36" t="s">
        <v>1574</v>
      </c>
    </row>
    <row r="2075" spans="1:10" x14ac:dyDescent="0.25">
      <c r="A2075" s="31" t="s">
        <v>1575</v>
      </c>
      <c r="B2075" s="31">
        <v>51.230899999999998</v>
      </c>
      <c r="C2075" s="32" t="s">
        <v>13488</v>
      </c>
      <c r="D2075" s="31" t="s">
        <v>13097</v>
      </c>
      <c r="E2075" s="40" t="s">
        <v>13489</v>
      </c>
      <c r="F2075" s="38" t="s">
        <v>9167</v>
      </c>
      <c r="G2075" s="34" t="s">
        <v>9683</v>
      </c>
      <c r="I2075" s="44" t="s">
        <v>13475</v>
      </c>
      <c r="J2075" s="36" t="s">
        <v>1575</v>
      </c>
    </row>
    <row r="2076" spans="1:10" x14ac:dyDescent="0.25">
      <c r="A2076" s="31" t="s">
        <v>1576</v>
      </c>
      <c r="B2076" s="31">
        <v>51.231000000000002</v>
      </c>
      <c r="C2076" s="32" t="s">
        <v>13490</v>
      </c>
      <c r="D2076" s="31" t="s">
        <v>13097</v>
      </c>
      <c r="E2076" s="40" t="s">
        <v>13491</v>
      </c>
      <c r="F2076" s="38" t="s">
        <v>9167</v>
      </c>
      <c r="G2076" s="34" t="s">
        <v>9683</v>
      </c>
      <c r="I2076" s="44" t="s">
        <v>13475</v>
      </c>
      <c r="J2076" s="36" t="s">
        <v>1576</v>
      </c>
    </row>
    <row r="2077" spans="1:10" x14ac:dyDescent="0.25">
      <c r="A2077" s="31" t="s">
        <v>1577</v>
      </c>
      <c r="B2077" s="31">
        <v>51.231099999999998</v>
      </c>
      <c r="C2077" s="32" t="s">
        <v>13492</v>
      </c>
      <c r="D2077" s="31" t="s">
        <v>13097</v>
      </c>
      <c r="E2077" s="40" t="s">
        <v>13493</v>
      </c>
      <c r="F2077" s="38" t="s">
        <v>9167</v>
      </c>
      <c r="G2077" s="34" t="s">
        <v>9683</v>
      </c>
      <c r="I2077" s="44" t="s">
        <v>13475</v>
      </c>
      <c r="J2077" s="36" t="s">
        <v>1577</v>
      </c>
    </row>
    <row r="2078" spans="1:10" x14ac:dyDescent="0.25">
      <c r="A2078" s="31" t="s">
        <v>1578</v>
      </c>
      <c r="B2078" s="31">
        <v>51.231200000000001</v>
      </c>
      <c r="C2078" s="32" t="s">
        <v>13494</v>
      </c>
      <c r="D2078" s="31" t="s">
        <v>13097</v>
      </c>
      <c r="E2078" s="40" t="s">
        <v>13495</v>
      </c>
      <c r="F2078" s="38" t="s">
        <v>9167</v>
      </c>
      <c r="G2078" s="34" t="s">
        <v>9683</v>
      </c>
      <c r="I2078" s="44" t="s">
        <v>13475</v>
      </c>
      <c r="J2078" s="36" t="s">
        <v>1578</v>
      </c>
    </row>
    <row r="2079" spans="1:10" x14ac:dyDescent="0.25">
      <c r="A2079" s="31" t="s">
        <v>1579</v>
      </c>
      <c r="B2079" s="31">
        <v>51.231299999999997</v>
      </c>
      <c r="C2079" s="32" t="s">
        <v>13496</v>
      </c>
      <c r="D2079" s="31" t="s">
        <v>13097</v>
      </c>
      <c r="E2079" s="40" t="s">
        <v>13497</v>
      </c>
      <c r="F2079" s="38" t="s">
        <v>9167</v>
      </c>
      <c r="G2079" s="34" t="s">
        <v>9683</v>
      </c>
      <c r="I2079" s="44" t="s">
        <v>13475</v>
      </c>
      <c r="J2079" s="36" t="s">
        <v>1579</v>
      </c>
    </row>
    <row r="2080" spans="1:10" x14ac:dyDescent="0.25">
      <c r="A2080" s="31" t="s">
        <v>1580</v>
      </c>
      <c r="B2080" s="31">
        <v>51.231400000000001</v>
      </c>
      <c r="C2080" s="32" t="s">
        <v>13498</v>
      </c>
      <c r="D2080" s="31" t="s">
        <v>13097</v>
      </c>
      <c r="E2080" s="40" t="s">
        <v>13499</v>
      </c>
      <c r="F2080" s="38" t="s">
        <v>9167</v>
      </c>
      <c r="G2080" s="34" t="s">
        <v>9683</v>
      </c>
      <c r="I2080" s="44" t="s">
        <v>13475</v>
      </c>
      <c r="J2080" s="36" t="s">
        <v>1580</v>
      </c>
    </row>
    <row r="2081" spans="1:10" x14ac:dyDescent="0.25">
      <c r="A2081" s="31" t="s">
        <v>2140</v>
      </c>
      <c r="B2081" s="31">
        <v>51.231499999999997</v>
      </c>
      <c r="C2081" s="32" t="s">
        <v>13500</v>
      </c>
      <c r="D2081" s="31" t="s">
        <v>13097</v>
      </c>
      <c r="E2081" s="40" t="s">
        <v>13501</v>
      </c>
      <c r="F2081" s="38" t="s">
        <v>9167</v>
      </c>
      <c r="G2081" s="34" t="s">
        <v>9683</v>
      </c>
      <c r="I2081" s="44" t="s">
        <v>13475</v>
      </c>
      <c r="J2081" s="36" t="s">
        <v>2140</v>
      </c>
    </row>
    <row r="2082" spans="1:10" x14ac:dyDescent="0.25">
      <c r="A2082" s="31" t="s">
        <v>2141</v>
      </c>
      <c r="B2082" s="31">
        <v>51.2316</v>
      </c>
      <c r="C2082" s="32" t="s">
        <v>13502</v>
      </c>
      <c r="D2082" s="31" t="s">
        <v>13097</v>
      </c>
      <c r="E2082" s="40" t="s">
        <v>13503</v>
      </c>
      <c r="F2082" s="38" t="s">
        <v>9167</v>
      </c>
      <c r="G2082" s="34" t="s">
        <v>9683</v>
      </c>
      <c r="I2082" s="44" t="s">
        <v>13475</v>
      </c>
      <c r="J2082" s="36" t="s">
        <v>2141</v>
      </c>
    </row>
    <row r="2083" spans="1:10" x14ac:dyDescent="0.25">
      <c r="A2083" s="31" t="s">
        <v>2142</v>
      </c>
      <c r="B2083" s="31">
        <v>51.231699999999996</v>
      </c>
      <c r="C2083" s="32" t="s">
        <v>13504</v>
      </c>
      <c r="D2083" s="31" t="s">
        <v>13097</v>
      </c>
      <c r="E2083" s="40" t="s">
        <v>13505</v>
      </c>
      <c r="F2083" s="38" t="s">
        <v>9167</v>
      </c>
      <c r="G2083" s="34" t="s">
        <v>9683</v>
      </c>
      <c r="I2083" s="44" t="s">
        <v>13475</v>
      </c>
      <c r="J2083" s="36" t="s">
        <v>2142</v>
      </c>
    </row>
    <row r="2084" spans="1:10" x14ac:dyDescent="0.25">
      <c r="A2084" s="31" t="s">
        <v>1581</v>
      </c>
      <c r="B2084" s="31">
        <v>51.239899999999999</v>
      </c>
      <c r="C2084" s="32" t="s">
        <v>13506</v>
      </c>
      <c r="D2084" s="31" t="s">
        <v>13097</v>
      </c>
      <c r="E2084" s="40" t="s">
        <v>13507</v>
      </c>
      <c r="F2084" s="38" t="s">
        <v>9167</v>
      </c>
      <c r="G2084" s="34" t="s">
        <v>9683</v>
      </c>
      <c r="I2084" s="44" t="s">
        <v>13475</v>
      </c>
      <c r="J2084" s="36" t="s">
        <v>1581</v>
      </c>
    </row>
    <row r="2085" spans="1:10" x14ac:dyDescent="0.25">
      <c r="A2085" s="31" t="s">
        <v>1582</v>
      </c>
      <c r="B2085" s="31">
        <v>51.24</v>
      </c>
      <c r="C2085" s="32" t="s">
        <v>13508</v>
      </c>
      <c r="D2085" s="31" t="s">
        <v>13097</v>
      </c>
      <c r="E2085" s="40" t="s">
        <v>9684</v>
      </c>
      <c r="F2085" s="38" t="s">
        <v>9167</v>
      </c>
      <c r="G2085" s="34" t="s">
        <v>9684</v>
      </c>
      <c r="H2085" s="34" t="s">
        <v>9684</v>
      </c>
      <c r="I2085" s="35" t="s">
        <v>13508</v>
      </c>
      <c r="J2085" s="36" t="s">
        <v>1582</v>
      </c>
    </row>
    <row r="2086" spans="1:10" x14ac:dyDescent="0.25">
      <c r="A2086" s="31" t="s">
        <v>1582</v>
      </c>
      <c r="B2086" s="31">
        <v>51.240099999999998</v>
      </c>
      <c r="C2086" s="32" t="s">
        <v>13509</v>
      </c>
      <c r="D2086" s="31" t="s">
        <v>13097</v>
      </c>
      <c r="E2086" s="40" t="s">
        <v>13510</v>
      </c>
      <c r="F2086" s="38" t="s">
        <v>9167</v>
      </c>
      <c r="G2086" s="34" t="s">
        <v>9684</v>
      </c>
      <c r="I2086" s="35" t="s">
        <v>13508</v>
      </c>
      <c r="J2086" s="36" t="s">
        <v>1582</v>
      </c>
    </row>
    <row r="2087" spans="1:10" x14ac:dyDescent="0.25">
      <c r="A2087" s="31" t="s">
        <v>1583</v>
      </c>
      <c r="B2087" s="31">
        <v>51.25</v>
      </c>
      <c r="C2087" s="32" t="s">
        <v>13511</v>
      </c>
      <c r="D2087" s="31" t="s">
        <v>13097</v>
      </c>
      <c r="E2087" s="40" t="s">
        <v>9685</v>
      </c>
      <c r="F2087" s="38" t="s">
        <v>9167</v>
      </c>
      <c r="G2087" s="34" t="s">
        <v>9685</v>
      </c>
      <c r="H2087" s="34" t="s">
        <v>9685</v>
      </c>
      <c r="I2087" s="35" t="s">
        <v>13511</v>
      </c>
      <c r="J2087" s="36" t="s">
        <v>1583</v>
      </c>
    </row>
    <row r="2088" spans="1:10" x14ac:dyDescent="0.25">
      <c r="A2088" s="31" t="s">
        <v>1584</v>
      </c>
      <c r="B2088" s="31">
        <v>51.250100000000003</v>
      </c>
      <c r="C2088" s="32" t="s">
        <v>13512</v>
      </c>
      <c r="D2088" s="31" t="s">
        <v>13097</v>
      </c>
      <c r="E2088" s="40" t="s">
        <v>13513</v>
      </c>
      <c r="F2088" s="38" t="s">
        <v>9167</v>
      </c>
      <c r="G2088" s="34" t="s">
        <v>9685</v>
      </c>
      <c r="I2088" s="35" t="s">
        <v>13511</v>
      </c>
      <c r="J2088" s="36" t="s">
        <v>1584</v>
      </c>
    </row>
    <row r="2089" spans="1:10" x14ac:dyDescent="0.25">
      <c r="A2089" s="31" t="s">
        <v>1585</v>
      </c>
      <c r="B2089" s="31">
        <v>51.2502</v>
      </c>
      <c r="C2089" s="32" t="s">
        <v>13514</v>
      </c>
      <c r="D2089" s="31" t="s">
        <v>13097</v>
      </c>
      <c r="E2089" s="40" t="s">
        <v>13515</v>
      </c>
      <c r="F2089" s="38" t="s">
        <v>9167</v>
      </c>
      <c r="G2089" s="34" t="s">
        <v>9685</v>
      </c>
      <c r="I2089" s="35" t="s">
        <v>13511</v>
      </c>
      <c r="J2089" s="36" t="s">
        <v>1585</v>
      </c>
    </row>
    <row r="2090" spans="1:10" x14ac:dyDescent="0.25">
      <c r="A2090" s="31" t="s">
        <v>1586</v>
      </c>
      <c r="B2090" s="31">
        <v>51.250300000000003</v>
      </c>
      <c r="C2090" s="32" t="s">
        <v>13516</v>
      </c>
      <c r="D2090" s="31" t="s">
        <v>13097</v>
      </c>
      <c r="E2090" s="40" t="s">
        <v>13517</v>
      </c>
      <c r="F2090" s="38" t="s">
        <v>9167</v>
      </c>
      <c r="G2090" s="34" t="s">
        <v>9685</v>
      </c>
      <c r="I2090" s="35" t="s">
        <v>13511</v>
      </c>
      <c r="J2090" s="36" t="s">
        <v>1586</v>
      </c>
    </row>
    <row r="2091" spans="1:10" x14ac:dyDescent="0.25">
      <c r="A2091" s="31" t="s">
        <v>1587</v>
      </c>
      <c r="B2091" s="31">
        <v>51.250399999999999</v>
      </c>
      <c r="C2091" s="32" t="s">
        <v>13518</v>
      </c>
      <c r="D2091" s="31" t="s">
        <v>13097</v>
      </c>
      <c r="E2091" s="40" t="s">
        <v>13519</v>
      </c>
      <c r="F2091" s="38" t="s">
        <v>9167</v>
      </c>
      <c r="G2091" s="34" t="s">
        <v>9685</v>
      </c>
      <c r="I2091" s="35" t="s">
        <v>13511</v>
      </c>
      <c r="J2091" s="36" t="s">
        <v>1587</v>
      </c>
    </row>
    <row r="2092" spans="1:10" x14ac:dyDescent="0.25">
      <c r="A2092" s="31" t="s">
        <v>1588</v>
      </c>
      <c r="B2092" s="31">
        <v>51.250500000000002</v>
      </c>
      <c r="C2092" s="32" t="s">
        <v>13520</v>
      </c>
      <c r="D2092" s="31" t="s">
        <v>13097</v>
      </c>
      <c r="E2092" s="40" t="s">
        <v>13521</v>
      </c>
      <c r="F2092" s="38" t="s">
        <v>9167</v>
      </c>
      <c r="G2092" s="34" t="s">
        <v>9685</v>
      </c>
      <c r="I2092" s="35" t="s">
        <v>13511</v>
      </c>
      <c r="J2092" s="36" t="s">
        <v>1588</v>
      </c>
    </row>
    <row r="2093" spans="1:10" x14ac:dyDescent="0.25">
      <c r="A2093" s="31" t="s">
        <v>1589</v>
      </c>
      <c r="B2093" s="31">
        <v>51.250599999999999</v>
      </c>
      <c r="C2093" s="32" t="s">
        <v>13522</v>
      </c>
      <c r="D2093" s="31" t="s">
        <v>13097</v>
      </c>
      <c r="E2093" s="40" t="s">
        <v>13523</v>
      </c>
      <c r="F2093" s="38" t="s">
        <v>9167</v>
      </c>
      <c r="G2093" s="34" t="s">
        <v>9685</v>
      </c>
      <c r="I2093" s="35" t="s">
        <v>13511</v>
      </c>
      <c r="J2093" s="36" t="s">
        <v>1589</v>
      </c>
    </row>
    <row r="2094" spans="1:10" x14ac:dyDescent="0.25">
      <c r="A2094" s="31" t="s">
        <v>1590</v>
      </c>
      <c r="B2094" s="31">
        <v>51.250700000000002</v>
      </c>
      <c r="C2094" s="32" t="s">
        <v>13524</v>
      </c>
      <c r="D2094" s="31" t="s">
        <v>13097</v>
      </c>
      <c r="E2094" s="40" t="s">
        <v>13525</v>
      </c>
      <c r="F2094" s="38" t="s">
        <v>9167</v>
      </c>
      <c r="G2094" s="34" t="s">
        <v>9685</v>
      </c>
      <c r="I2094" s="35" t="s">
        <v>13511</v>
      </c>
      <c r="J2094" s="36" t="s">
        <v>1590</v>
      </c>
    </row>
    <row r="2095" spans="1:10" x14ac:dyDescent="0.25">
      <c r="A2095" s="31" t="s">
        <v>1591</v>
      </c>
      <c r="B2095" s="31">
        <v>51.250799999999998</v>
      </c>
      <c r="C2095" s="32" t="s">
        <v>13526</v>
      </c>
      <c r="D2095" s="31" t="s">
        <v>13097</v>
      </c>
      <c r="E2095" s="40" t="s">
        <v>13527</v>
      </c>
      <c r="F2095" s="38" t="s">
        <v>9167</v>
      </c>
      <c r="G2095" s="34" t="s">
        <v>9685</v>
      </c>
      <c r="I2095" s="35" t="s">
        <v>13511</v>
      </c>
      <c r="J2095" s="36" t="s">
        <v>1591</v>
      </c>
    </row>
    <row r="2096" spans="1:10" x14ac:dyDescent="0.25">
      <c r="A2096" s="31" t="s">
        <v>1592</v>
      </c>
      <c r="B2096" s="31">
        <v>51.250900000000001</v>
      </c>
      <c r="C2096" s="32" t="s">
        <v>13528</v>
      </c>
      <c r="D2096" s="31" t="s">
        <v>13097</v>
      </c>
      <c r="E2096" s="40" t="s">
        <v>13529</v>
      </c>
      <c r="F2096" s="38" t="s">
        <v>9167</v>
      </c>
      <c r="G2096" s="34" t="s">
        <v>9685</v>
      </c>
      <c r="I2096" s="35" t="s">
        <v>13511</v>
      </c>
      <c r="J2096" s="36" t="s">
        <v>1592</v>
      </c>
    </row>
    <row r="2097" spans="1:10" x14ac:dyDescent="0.25">
      <c r="A2097" s="31" t="s">
        <v>1593</v>
      </c>
      <c r="B2097" s="31">
        <v>51.250999999999998</v>
      </c>
      <c r="C2097" s="32" t="s">
        <v>13530</v>
      </c>
      <c r="D2097" s="31" t="s">
        <v>13097</v>
      </c>
      <c r="E2097" s="40" t="s">
        <v>13531</v>
      </c>
      <c r="F2097" s="38" t="s">
        <v>9167</v>
      </c>
      <c r="G2097" s="34" t="s">
        <v>9685</v>
      </c>
      <c r="I2097" s="35" t="s">
        <v>13511</v>
      </c>
      <c r="J2097" s="36" t="s">
        <v>1593</v>
      </c>
    </row>
    <row r="2098" spans="1:10" x14ac:dyDescent="0.25">
      <c r="A2098" s="31" t="s">
        <v>1594</v>
      </c>
      <c r="B2098" s="31">
        <v>51.251100000000001</v>
      </c>
      <c r="C2098" s="32" t="s">
        <v>13532</v>
      </c>
      <c r="D2098" s="31" t="s">
        <v>13097</v>
      </c>
      <c r="E2098" s="40" t="s">
        <v>13533</v>
      </c>
      <c r="F2098" s="38" t="s">
        <v>9167</v>
      </c>
      <c r="G2098" s="34" t="s">
        <v>9685</v>
      </c>
      <c r="I2098" s="35" t="s">
        <v>13511</v>
      </c>
      <c r="J2098" s="36" t="s">
        <v>1594</v>
      </c>
    </row>
    <row r="2099" spans="1:10" x14ac:dyDescent="0.25">
      <c r="A2099" s="31" t="s">
        <v>1595</v>
      </c>
      <c r="B2099" s="31">
        <v>51.259900000000002</v>
      </c>
      <c r="C2099" s="32" t="s">
        <v>13534</v>
      </c>
      <c r="D2099" s="31" t="s">
        <v>13097</v>
      </c>
      <c r="E2099" s="40" t="s">
        <v>13535</v>
      </c>
      <c r="F2099" s="38" t="s">
        <v>9167</v>
      </c>
      <c r="G2099" s="34" t="s">
        <v>9685</v>
      </c>
      <c r="I2099" s="35" t="s">
        <v>13511</v>
      </c>
      <c r="J2099" s="36" t="s">
        <v>1595</v>
      </c>
    </row>
    <row r="2100" spans="1:10" x14ac:dyDescent="0.25">
      <c r="A2100" s="31" t="s">
        <v>1596</v>
      </c>
      <c r="B2100" s="31">
        <v>51.26</v>
      </c>
      <c r="C2100" s="32" t="s">
        <v>13536</v>
      </c>
      <c r="D2100" s="31" t="s">
        <v>13097</v>
      </c>
      <c r="E2100" s="40" t="s">
        <v>9686</v>
      </c>
      <c r="F2100" s="38" t="s">
        <v>9167</v>
      </c>
      <c r="G2100" s="34" t="s">
        <v>9686</v>
      </c>
      <c r="H2100" s="34" t="s">
        <v>9686</v>
      </c>
      <c r="I2100" s="35" t="s">
        <v>13536</v>
      </c>
      <c r="J2100" s="36" t="s">
        <v>1596</v>
      </c>
    </row>
    <row r="2101" spans="1:10" x14ac:dyDescent="0.25">
      <c r="A2101" s="31" t="s">
        <v>1597</v>
      </c>
      <c r="B2101" s="31">
        <v>51.260100000000001</v>
      </c>
      <c r="C2101" s="32" t="s">
        <v>13537</v>
      </c>
      <c r="D2101" s="31" t="s">
        <v>13097</v>
      </c>
      <c r="E2101" s="40" t="s">
        <v>13538</v>
      </c>
      <c r="F2101" s="38" t="s">
        <v>9167</v>
      </c>
      <c r="G2101" s="34" t="s">
        <v>9686</v>
      </c>
      <c r="I2101" s="35" t="s">
        <v>13536</v>
      </c>
      <c r="J2101" s="36" t="s">
        <v>1597</v>
      </c>
    </row>
    <row r="2102" spans="1:10" x14ac:dyDescent="0.25">
      <c r="A2102" s="31" t="s">
        <v>1598</v>
      </c>
      <c r="B2102" s="31">
        <v>51.260199999999998</v>
      </c>
      <c r="C2102" s="32" t="s">
        <v>13539</v>
      </c>
      <c r="D2102" s="31" t="s">
        <v>13097</v>
      </c>
      <c r="E2102" s="40" t="s">
        <v>13540</v>
      </c>
      <c r="F2102" s="38" t="s">
        <v>9167</v>
      </c>
      <c r="G2102" s="34" t="s">
        <v>9686</v>
      </c>
      <c r="I2102" s="35" t="s">
        <v>13536</v>
      </c>
      <c r="J2102" s="36" t="s">
        <v>1598</v>
      </c>
    </row>
    <row r="2103" spans="1:10" x14ac:dyDescent="0.25">
      <c r="A2103" s="31" t="s">
        <v>1599</v>
      </c>
      <c r="B2103" s="31">
        <v>51.260300000000001</v>
      </c>
      <c r="C2103" s="32" t="s">
        <v>13541</v>
      </c>
      <c r="D2103" s="31" t="s">
        <v>13097</v>
      </c>
      <c r="E2103" s="40" t="s">
        <v>13542</v>
      </c>
      <c r="F2103" s="38" t="s">
        <v>9167</v>
      </c>
      <c r="G2103" s="34" t="s">
        <v>9686</v>
      </c>
      <c r="I2103" s="35" t="s">
        <v>13536</v>
      </c>
      <c r="J2103" s="36" t="s">
        <v>1599</v>
      </c>
    </row>
    <row r="2104" spans="1:10" x14ac:dyDescent="0.25">
      <c r="A2104" s="31" t="s">
        <v>1600</v>
      </c>
      <c r="B2104" s="31">
        <v>51.260399999999997</v>
      </c>
      <c r="C2104" s="32" t="s">
        <v>13543</v>
      </c>
      <c r="D2104" s="31" t="s">
        <v>13097</v>
      </c>
      <c r="E2104" s="40" t="s">
        <v>13544</v>
      </c>
      <c r="F2104" s="38" t="s">
        <v>9167</v>
      </c>
      <c r="G2104" s="34" t="s">
        <v>9686</v>
      </c>
      <c r="I2104" s="35" t="s">
        <v>13536</v>
      </c>
      <c r="J2104" s="36" t="s">
        <v>1600</v>
      </c>
    </row>
    <row r="2105" spans="1:10" x14ac:dyDescent="0.25">
      <c r="A2105" s="31" t="s">
        <v>2143</v>
      </c>
      <c r="B2105" s="31">
        <v>51.2605</v>
      </c>
      <c r="C2105" s="32" t="s">
        <v>13545</v>
      </c>
      <c r="D2105" s="31" t="s">
        <v>13097</v>
      </c>
      <c r="E2105" s="40" t="s">
        <v>13546</v>
      </c>
      <c r="F2105" s="38" t="s">
        <v>9167</v>
      </c>
      <c r="G2105" s="34" t="s">
        <v>9686</v>
      </c>
      <c r="I2105" s="35" t="s">
        <v>13536</v>
      </c>
      <c r="J2105" s="36" t="s">
        <v>2143</v>
      </c>
    </row>
    <row r="2106" spans="1:10" x14ac:dyDescent="0.25">
      <c r="A2106" s="31" t="s">
        <v>1601</v>
      </c>
      <c r="B2106" s="31">
        <v>51.2699</v>
      </c>
      <c r="C2106" s="32" t="s">
        <v>13547</v>
      </c>
      <c r="D2106" s="31" t="s">
        <v>13097</v>
      </c>
      <c r="E2106" s="40" t="s">
        <v>13548</v>
      </c>
      <c r="F2106" s="38" t="s">
        <v>9167</v>
      </c>
      <c r="G2106" s="34" t="s">
        <v>9686</v>
      </c>
      <c r="I2106" s="35" t="s">
        <v>13536</v>
      </c>
      <c r="J2106" s="36" t="s">
        <v>1601</v>
      </c>
    </row>
    <row r="2107" spans="1:10" x14ac:dyDescent="0.25">
      <c r="A2107" s="31" t="s">
        <v>1602</v>
      </c>
      <c r="B2107" s="31">
        <v>51.27</v>
      </c>
      <c r="C2107" s="32" t="s">
        <v>13549</v>
      </c>
      <c r="D2107" s="31" t="s">
        <v>13097</v>
      </c>
      <c r="E2107" s="40" t="s">
        <v>9687</v>
      </c>
      <c r="F2107" s="38" t="s">
        <v>9167</v>
      </c>
      <c r="G2107" s="34" t="s">
        <v>9687</v>
      </c>
      <c r="H2107" s="34" t="s">
        <v>9687</v>
      </c>
      <c r="I2107" s="44" t="s">
        <v>13549</v>
      </c>
      <c r="J2107" s="36" t="s">
        <v>1602</v>
      </c>
    </row>
    <row r="2108" spans="1:10" x14ac:dyDescent="0.25">
      <c r="A2108" s="31" t="s">
        <v>1603</v>
      </c>
      <c r="B2108" s="31">
        <v>51.270299999999999</v>
      </c>
      <c r="C2108" s="32" t="s">
        <v>13550</v>
      </c>
      <c r="D2108" s="31" t="s">
        <v>13097</v>
      </c>
      <c r="E2108" s="40" t="s">
        <v>13551</v>
      </c>
      <c r="F2108" s="38" t="s">
        <v>9167</v>
      </c>
      <c r="G2108" s="34" t="s">
        <v>9687</v>
      </c>
      <c r="I2108" s="44" t="s">
        <v>13549</v>
      </c>
      <c r="J2108" s="36" t="s">
        <v>1603</v>
      </c>
    </row>
    <row r="2109" spans="1:10" x14ac:dyDescent="0.25">
      <c r="A2109" s="31" t="s">
        <v>1604</v>
      </c>
      <c r="B2109" s="31">
        <v>51.270600000000002</v>
      </c>
      <c r="C2109" s="32" t="s">
        <v>13552</v>
      </c>
      <c r="D2109" s="31" t="s">
        <v>13097</v>
      </c>
      <c r="E2109" s="40" t="s">
        <v>13553</v>
      </c>
      <c r="F2109" s="38" t="s">
        <v>9167</v>
      </c>
      <c r="G2109" s="34" t="s">
        <v>9687</v>
      </c>
      <c r="I2109" s="44" t="s">
        <v>13549</v>
      </c>
      <c r="J2109" s="36" t="s">
        <v>1604</v>
      </c>
    </row>
    <row r="2110" spans="1:10" x14ac:dyDescent="0.25">
      <c r="A2110" s="31" t="s">
        <v>1605</v>
      </c>
      <c r="B2110" s="31">
        <v>51.279899999999998</v>
      </c>
      <c r="C2110" s="32" t="s">
        <v>13554</v>
      </c>
      <c r="D2110" s="31" t="s">
        <v>13097</v>
      </c>
      <c r="E2110" s="40" t="s">
        <v>13555</v>
      </c>
      <c r="F2110" s="38" t="s">
        <v>9167</v>
      </c>
      <c r="G2110" s="34" t="s">
        <v>9687</v>
      </c>
      <c r="I2110" s="44" t="s">
        <v>13549</v>
      </c>
      <c r="J2110" s="36" t="s">
        <v>1605</v>
      </c>
    </row>
    <row r="2111" spans="1:10" x14ac:dyDescent="0.25">
      <c r="A2111" s="31" t="s">
        <v>1606</v>
      </c>
      <c r="B2111" s="31">
        <v>51.31</v>
      </c>
      <c r="C2111" s="32" t="s">
        <v>13556</v>
      </c>
      <c r="D2111" s="31" t="s">
        <v>13097</v>
      </c>
      <c r="E2111" s="40" t="s">
        <v>9688</v>
      </c>
      <c r="F2111" s="38" t="s">
        <v>9167</v>
      </c>
      <c r="G2111" s="34" t="s">
        <v>9688</v>
      </c>
      <c r="H2111" s="34" t="s">
        <v>9688</v>
      </c>
      <c r="I2111" s="44" t="s">
        <v>13556</v>
      </c>
      <c r="J2111" s="36" t="s">
        <v>1606</v>
      </c>
    </row>
    <row r="2112" spans="1:10" x14ac:dyDescent="0.25">
      <c r="A2112" s="31" t="s">
        <v>1607</v>
      </c>
      <c r="B2112" s="31">
        <v>51.310099999999998</v>
      </c>
      <c r="C2112" s="32" t="s">
        <v>13557</v>
      </c>
      <c r="D2112" s="31" t="s">
        <v>13097</v>
      </c>
      <c r="E2112" s="40" t="s">
        <v>13558</v>
      </c>
      <c r="F2112" s="38" t="s">
        <v>9167</v>
      </c>
      <c r="G2112" s="34" t="s">
        <v>9688</v>
      </c>
      <c r="I2112" s="44" t="s">
        <v>13556</v>
      </c>
      <c r="J2112" s="36" t="s">
        <v>1607</v>
      </c>
    </row>
    <row r="2113" spans="1:10" x14ac:dyDescent="0.25">
      <c r="A2113" s="31" t="s">
        <v>1608</v>
      </c>
      <c r="B2113" s="31">
        <v>51.310200000000002</v>
      </c>
      <c r="C2113" s="32" t="s">
        <v>13559</v>
      </c>
      <c r="D2113" s="31" t="s">
        <v>13097</v>
      </c>
      <c r="E2113" s="40" t="s">
        <v>13560</v>
      </c>
      <c r="F2113" s="38" t="s">
        <v>9167</v>
      </c>
      <c r="G2113" s="34" t="s">
        <v>9688</v>
      </c>
      <c r="I2113" s="44" t="s">
        <v>13556</v>
      </c>
      <c r="J2113" s="36" t="s">
        <v>1608</v>
      </c>
    </row>
    <row r="2114" spans="1:10" x14ac:dyDescent="0.25">
      <c r="A2114" s="31" t="s">
        <v>1609</v>
      </c>
      <c r="B2114" s="31">
        <v>51.310299999999998</v>
      </c>
      <c r="C2114" s="32" t="s">
        <v>13561</v>
      </c>
      <c r="D2114" s="31" t="s">
        <v>13097</v>
      </c>
      <c r="E2114" s="40" t="s">
        <v>13562</v>
      </c>
      <c r="F2114" s="38" t="s">
        <v>9167</v>
      </c>
      <c r="G2114" s="34" t="s">
        <v>9688</v>
      </c>
      <c r="I2114" s="44" t="s">
        <v>13556</v>
      </c>
      <c r="J2114" s="36" t="s">
        <v>1609</v>
      </c>
    </row>
    <row r="2115" spans="1:10" x14ac:dyDescent="0.25">
      <c r="A2115" s="31" t="s">
        <v>1610</v>
      </c>
      <c r="B2115" s="31">
        <v>51.310400000000001</v>
      </c>
      <c r="C2115" s="32" t="s">
        <v>13563</v>
      </c>
      <c r="D2115" s="31" t="s">
        <v>13097</v>
      </c>
      <c r="E2115" s="40" t="s">
        <v>13564</v>
      </c>
      <c r="F2115" s="38" t="s">
        <v>9167</v>
      </c>
      <c r="G2115" s="34" t="s">
        <v>9688</v>
      </c>
      <c r="I2115" s="44" t="s">
        <v>13556</v>
      </c>
      <c r="J2115" s="36" t="s">
        <v>1610</v>
      </c>
    </row>
    <row r="2116" spans="1:10" x14ac:dyDescent="0.25">
      <c r="A2116" s="31" t="s">
        <v>1611</v>
      </c>
      <c r="B2116" s="31">
        <v>51.319899999999997</v>
      </c>
      <c r="C2116" s="32" t="s">
        <v>13565</v>
      </c>
      <c r="D2116" s="31" t="s">
        <v>13097</v>
      </c>
      <c r="E2116" s="40" t="s">
        <v>13566</v>
      </c>
      <c r="F2116" s="38" t="s">
        <v>9167</v>
      </c>
      <c r="G2116" s="34" t="s">
        <v>9688</v>
      </c>
      <c r="I2116" s="44" t="s">
        <v>13556</v>
      </c>
      <c r="J2116" s="36" t="s">
        <v>1611</v>
      </c>
    </row>
    <row r="2117" spans="1:10" x14ac:dyDescent="0.25">
      <c r="A2117" s="31" t="s">
        <v>2144</v>
      </c>
      <c r="B2117" s="31">
        <v>51.32</v>
      </c>
      <c r="C2117" s="32" t="s">
        <v>13567</v>
      </c>
      <c r="D2117" s="31" t="s">
        <v>13097</v>
      </c>
      <c r="E2117" s="40" t="s">
        <v>9689</v>
      </c>
      <c r="F2117" s="38" t="s">
        <v>9167</v>
      </c>
      <c r="G2117" s="34" t="s">
        <v>9689</v>
      </c>
      <c r="H2117" s="34" t="s">
        <v>9689</v>
      </c>
      <c r="I2117" s="44" t="s">
        <v>13567</v>
      </c>
      <c r="J2117" s="36" t="s">
        <v>2144</v>
      </c>
    </row>
    <row r="2118" spans="1:10" x14ac:dyDescent="0.25">
      <c r="A2118" s="31" t="s">
        <v>1612</v>
      </c>
      <c r="B2118" s="31">
        <v>51.320099999999996</v>
      </c>
      <c r="C2118" s="32" t="s">
        <v>13568</v>
      </c>
      <c r="D2118" s="31" t="s">
        <v>13097</v>
      </c>
      <c r="E2118" s="40" t="s">
        <v>13569</v>
      </c>
      <c r="F2118" s="38" t="s">
        <v>9167</v>
      </c>
      <c r="G2118" s="34" t="s">
        <v>9689</v>
      </c>
      <c r="I2118" s="44" t="s">
        <v>13567</v>
      </c>
      <c r="J2118" s="36" t="s">
        <v>1612</v>
      </c>
    </row>
    <row r="2119" spans="1:10" x14ac:dyDescent="0.25">
      <c r="A2119" s="31" t="s">
        <v>2145</v>
      </c>
      <c r="B2119" s="31">
        <v>51.3202</v>
      </c>
      <c r="C2119" s="32" t="s">
        <v>13570</v>
      </c>
      <c r="D2119" s="31" t="s">
        <v>13097</v>
      </c>
      <c r="E2119" s="40" t="s">
        <v>13571</v>
      </c>
      <c r="F2119" s="38" t="s">
        <v>9167</v>
      </c>
      <c r="G2119" s="34" t="s">
        <v>9689</v>
      </c>
      <c r="I2119" s="44" t="s">
        <v>13567</v>
      </c>
      <c r="J2119" s="36" t="s">
        <v>2145</v>
      </c>
    </row>
    <row r="2120" spans="1:10" x14ac:dyDescent="0.25">
      <c r="A2120" s="31" t="s">
        <v>1646</v>
      </c>
      <c r="B2120" s="31">
        <v>51.320300000000003</v>
      </c>
      <c r="C2120" s="32" t="s">
        <v>13572</v>
      </c>
      <c r="D2120" s="31" t="s">
        <v>13097</v>
      </c>
      <c r="E2120" s="40" t="s">
        <v>13573</v>
      </c>
      <c r="F2120" s="38" t="s">
        <v>9167</v>
      </c>
      <c r="G2120" s="34" t="s">
        <v>9689</v>
      </c>
      <c r="I2120" s="44" t="s">
        <v>13567</v>
      </c>
      <c r="J2120" s="36" t="s">
        <v>1646</v>
      </c>
    </row>
    <row r="2121" spans="1:10" x14ac:dyDescent="0.25">
      <c r="A2121" s="31" t="s">
        <v>2146</v>
      </c>
      <c r="B2121" s="31">
        <v>51.320399999999999</v>
      </c>
      <c r="C2121" s="32" t="s">
        <v>13574</v>
      </c>
      <c r="D2121" s="31" t="s">
        <v>13097</v>
      </c>
      <c r="E2121" s="40" t="s">
        <v>13575</v>
      </c>
      <c r="F2121" s="38" t="s">
        <v>9167</v>
      </c>
      <c r="G2121" s="34" t="s">
        <v>9689</v>
      </c>
      <c r="I2121" s="44" t="s">
        <v>13567</v>
      </c>
      <c r="J2121" s="36" t="s">
        <v>2146</v>
      </c>
    </row>
    <row r="2122" spans="1:10" x14ac:dyDescent="0.25">
      <c r="A2122" s="31" t="s">
        <v>2147</v>
      </c>
      <c r="B2122" s="31">
        <v>51.320500000000003</v>
      </c>
      <c r="C2122" s="32" t="s">
        <v>13576</v>
      </c>
      <c r="D2122" s="31" t="s">
        <v>13097</v>
      </c>
      <c r="E2122" s="40" t="s">
        <v>13577</v>
      </c>
      <c r="F2122" s="38" t="s">
        <v>9167</v>
      </c>
      <c r="G2122" s="34" t="s">
        <v>9689</v>
      </c>
      <c r="I2122" s="44" t="s">
        <v>13567</v>
      </c>
      <c r="J2122" s="36" t="s">
        <v>2147</v>
      </c>
    </row>
    <row r="2123" spans="1:10" x14ac:dyDescent="0.25">
      <c r="A2123" s="31" t="s">
        <v>2148</v>
      </c>
      <c r="B2123" s="31">
        <v>51.320599999999999</v>
      </c>
      <c r="C2123" s="32" t="s">
        <v>13578</v>
      </c>
      <c r="D2123" s="31" t="s">
        <v>13097</v>
      </c>
      <c r="E2123" s="40" t="s">
        <v>13579</v>
      </c>
      <c r="F2123" s="38" t="s">
        <v>9167</v>
      </c>
      <c r="G2123" s="34" t="s">
        <v>9689</v>
      </c>
      <c r="I2123" s="44" t="s">
        <v>13567</v>
      </c>
      <c r="J2123" s="36" t="s">
        <v>2148</v>
      </c>
    </row>
    <row r="2124" spans="1:10" x14ac:dyDescent="0.25">
      <c r="A2124" s="31" t="s">
        <v>2149</v>
      </c>
      <c r="B2124" s="31">
        <v>51.329900000000002</v>
      </c>
      <c r="C2124" s="32" t="s">
        <v>13580</v>
      </c>
      <c r="D2124" s="31" t="s">
        <v>13097</v>
      </c>
      <c r="E2124" s="40" t="s">
        <v>13581</v>
      </c>
      <c r="F2124" s="38" t="s">
        <v>9167</v>
      </c>
      <c r="G2124" s="34" t="s">
        <v>9689</v>
      </c>
      <c r="I2124" s="44" t="s">
        <v>13567</v>
      </c>
      <c r="J2124" s="36" t="s">
        <v>2149</v>
      </c>
    </row>
    <row r="2125" spans="1:10" x14ac:dyDescent="0.25">
      <c r="A2125" s="31" t="s">
        <v>1614</v>
      </c>
      <c r="B2125" s="31">
        <v>51.33</v>
      </c>
      <c r="C2125" s="32" t="s">
        <v>13582</v>
      </c>
      <c r="D2125" s="31" t="s">
        <v>13097</v>
      </c>
      <c r="E2125" s="40" t="s">
        <v>13583</v>
      </c>
      <c r="F2125" s="38" t="s">
        <v>9167</v>
      </c>
      <c r="G2125" s="34" t="s">
        <v>9690</v>
      </c>
      <c r="I2125" s="35" t="s">
        <v>13584</v>
      </c>
      <c r="J2125" s="36" t="s">
        <v>1614</v>
      </c>
    </row>
    <row r="2126" spans="1:10" x14ac:dyDescent="0.25">
      <c r="A2126" s="31" t="s">
        <v>1613</v>
      </c>
      <c r="B2126" s="31">
        <v>51.33</v>
      </c>
      <c r="C2126" s="32" t="s">
        <v>13584</v>
      </c>
      <c r="D2126" s="31" t="s">
        <v>13097</v>
      </c>
      <c r="E2126" s="40" t="s">
        <v>9690</v>
      </c>
      <c r="F2126" s="38" t="s">
        <v>9167</v>
      </c>
      <c r="G2126" s="34" t="s">
        <v>9690</v>
      </c>
      <c r="H2126" s="34" t="s">
        <v>9690</v>
      </c>
      <c r="I2126" s="35" t="s">
        <v>13584</v>
      </c>
      <c r="J2126" s="36" t="s">
        <v>1613</v>
      </c>
    </row>
    <row r="2127" spans="1:10" x14ac:dyDescent="0.25">
      <c r="A2127" s="31" t="s">
        <v>1615</v>
      </c>
      <c r="B2127" s="31">
        <v>51.330100000000002</v>
      </c>
      <c r="C2127" s="32" t="s">
        <v>13585</v>
      </c>
      <c r="D2127" s="31" t="s">
        <v>13097</v>
      </c>
      <c r="E2127" s="40" t="s">
        <v>13586</v>
      </c>
      <c r="F2127" s="38" t="s">
        <v>9167</v>
      </c>
      <c r="G2127" s="34" t="s">
        <v>9690</v>
      </c>
      <c r="I2127" s="35" t="s">
        <v>13584</v>
      </c>
      <c r="J2127" s="36" t="s">
        <v>1615</v>
      </c>
    </row>
    <row r="2128" spans="1:10" x14ac:dyDescent="0.25">
      <c r="A2128" s="31" t="s">
        <v>1616</v>
      </c>
      <c r="B2128" s="31">
        <v>51.330199999999998</v>
      </c>
      <c r="C2128" s="32" t="s">
        <v>13587</v>
      </c>
      <c r="D2128" s="31" t="s">
        <v>13097</v>
      </c>
      <c r="E2128" s="40" t="s">
        <v>13588</v>
      </c>
      <c r="F2128" s="38" t="s">
        <v>9167</v>
      </c>
      <c r="G2128" s="34" t="s">
        <v>9690</v>
      </c>
      <c r="I2128" s="35" t="s">
        <v>13584</v>
      </c>
      <c r="J2128" s="36" t="s">
        <v>1616</v>
      </c>
    </row>
    <row r="2129" spans="1:10" x14ac:dyDescent="0.25">
      <c r="A2129" s="31" t="s">
        <v>1617</v>
      </c>
      <c r="B2129" s="31">
        <v>51.330300000000001</v>
      </c>
      <c r="C2129" s="32" t="s">
        <v>13589</v>
      </c>
      <c r="D2129" s="31" t="s">
        <v>13097</v>
      </c>
      <c r="E2129" s="40" t="s">
        <v>13590</v>
      </c>
      <c r="F2129" s="38" t="s">
        <v>9167</v>
      </c>
      <c r="G2129" s="34" t="s">
        <v>9690</v>
      </c>
      <c r="I2129" s="35" t="s">
        <v>13584</v>
      </c>
      <c r="J2129" s="36" t="s">
        <v>1617</v>
      </c>
    </row>
    <row r="2130" spans="1:10" x14ac:dyDescent="0.25">
      <c r="A2130" s="31" t="s">
        <v>1618</v>
      </c>
      <c r="B2130" s="31">
        <v>51.330399999999997</v>
      </c>
      <c r="C2130" s="32" t="s">
        <v>13591</v>
      </c>
      <c r="D2130" s="31" t="s">
        <v>13097</v>
      </c>
      <c r="E2130" s="40" t="s">
        <v>13592</v>
      </c>
      <c r="F2130" s="38" t="s">
        <v>9167</v>
      </c>
      <c r="G2130" s="34" t="s">
        <v>9690</v>
      </c>
      <c r="I2130" s="35" t="s">
        <v>13584</v>
      </c>
      <c r="J2130" s="36" t="s">
        <v>1618</v>
      </c>
    </row>
    <row r="2131" spans="1:10" x14ac:dyDescent="0.25">
      <c r="A2131" s="31" t="s">
        <v>1619</v>
      </c>
      <c r="B2131" s="31">
        <v>51.330500000000001</v>
      </c>
      <c r="C2131" s="32" t="s">
        <v>13593</v>
      </c>
      <c r="D2131" s="31" t="s">
        <v>13097</v>
      </c>
      <c r="E2131" s="40" t="s">
        <v>13594</v>
      </c>
      <c r="F2131" s="38" t="s">
        <v>9167</v>
      </c>
      <c r="G2131" s="34" t="s">
        <v>9690</v>
      </c>
      <c r="I2131" s="35" t="s">
        <v>13584</v>
      </c>
      <c r="J2131" s="36" t="s">
        <v>1619</v>
      </c>
    </row>
    <row r="2132" spans="1:10" x14ac:dyDescent="0.25">
      <c r="A2132" s="31" t="s">
        <v>2150</v>
      </c>
      <c r="B2132" s="31">
        <v>51.330599999999997</v>
      </c>
      <c r="C2132" s="32" t="s">
        <v>13595</v>
      </c>
      <c r="D2132" s="31" t="s">
        <v>13097</v>
      </c>
      <c r="E2132" s="40" t="s">
        <v>13596</v>
      </c>
      <c r="F2132" s="38" t="s">
        <v>9167</v>
      </c>
      <c r="G2132" s="34" t="s">
        <v>9690</v>
      </c>
      <c r="I2132" s="35" t="s">
        <v>13584</v>
      </c>
      <c r="J2132" s="36" t="s">
        <v>2150</v>
      </c>
    </row>
    <row r="2133" spans="1:10" x14ac:dyDescent="0.25">
      <c r="A2133" s="31" t="s">
        <v>1620</v>
      </c>
      <c r="B2133" s="31">
        <v>51.3399</v>
      </c>
      <c r="C2133" s="32" t="s">
        <v>13597</v>
      </c>
      <c r="D2133" s="31" t="s">
        <v>13097</v>
      </c>
      <c r="E2133" s="40" t="s">
        <v>13598</v>
      </c>
      <c r="F2133" s="38" t="s">
        <v>9167</v>
      </c>
      <c r="G2133" s="34" t="s">
        <v>9690</v>
      </c>
      <c r="I2133" s="35" t="s">
        <v>13584</v>
      </c>
      <c r="J2133" s="36" t="s">
        <v>1620</v>
      </c>
    </row>
    <row r="2134" spans="1:10" x14ac:dyDescent="0.25">
      <c r="A2134" s="31" t="s">
        <v>1621</v>
      </c>
      <c r="B2134" s="31">
        <v>51.34</v>
      </c>
      <c r="C2134" s="32" t="s">
        <v>13599</v>
      </c>
      <c r="D2134" s="31" t="s">
        <v>13097</v>
      </c>
      <c r="E2134" s="40" t="s">
        <v>9691</v>
      </c>
      <c r="F2134" s="38" t="s">
        <v>9167</v>
      </c>
      <c r="G2134" s="34" t="s">
        <v>9691</v>
      </c>
      <c r="H2134" s="34" t="s">
        <v>9691</v>
      </c>
      <c r="I2134" s="35" t="s">
        <v>13599</v>
      </c>
      <c r="J2134" s="36" t="s">
        <v>1621</v>
      </c>
    </row>
    <row r="2135" spans="1:10" x14ac:dyDescent="0.25">
      <c r="A2135" s="31" t="s">
        <v>1622</v>
      </c>
      <c r="B2135" s="31">
        <v>51.3401</v>
      </c>
      <c r="C2135" s="32" t="s">
        <v>13600</v>
      </c>
      <c r="D2135" s="31" t="s">
        <v>13097</v>
      </c>
      <c r="E2135" s="40" t="s">
        <v>13601</v>
      </c>
      <c r="F2135" s="38" t="s">
        <v>9167</v>
      </c>
      <c r="G2135" s="34" t="s">
        <v>9691</v>
      </c>
      <c r="I2135" s="35" t="s">
        <v>13599</v>
      </c>
      <c r="J2135" s="36" t="s">
        <v>1622</v>
      </c>
    </row>
    <row r="2136" spans="1:10" x14ac:dyDescent="0.25">
      <c r="A2136" s="31" t="s">
        <v>1623</v>
      </c>
      <c r="B2136" s="31">
        <v>51.349899999999998</v>
      </c>
      <c r="C2136" s="32" t="s">
        <v>13602</v>
      </c>
      <c r="D2136" s="31" t="s">
        <v>13097</v>
      </c>
      <c r="E2136" s="40" t="s">
        <v>13603</v>
      </c>
      <c r="F2136" s="38" t="s">
        <v>9167</v>
      </c>
      <c r="G2136" s="34" t="s">
        <v>9691</v>
      </c>
      <c r="I2136" s="35" t="s">
        <v>13599</v>
      </c>
      <c r="J2136" s="36" t="s">
        <v>1623</v>
      </c>
    </row>
    <row r="2137" spans="1:10" x14ac:dyDescent="0.25">
      <c r="A2137" s="31" t="s">
        <v>1624</v>
      </c>
      <c r="B2137" s="31">
        <v>51.35</v>
      </c>
      <c r="C2137" s="32" t="s">
        <v>13604</v>
      </c>
      <c r="D2137" s="31" t="s">
        <v>13097</v>
      </c>
      <c r="E2137" s="40" t="s">
        <v>9692</v>
      </c>
      <c r="F2137" s="38" t="s">
        <v>9167</v>
      </c>
      <c r="G2137" s="34" t="s">
        <v>9692</v>
      </c>
      <c r="H2137" s="34" t="s">
        <v>9692</v>
      </c>
      <c r="I2137" s="35" t="s">
        <v>13604</v>
      </c>
      <c r="J2137" s="36" t="s">
        <v>1624</v>
      </c>
    </row>
    <row r="2138" spans="1:10" x14ac:dyDescent="0.25">
      <c r="A2138" s="31" t="s">
        <v>1625</v>
      </c>
      <c r="B2138" s="31">
        <v>51.350099999999998</v>
      </c>
      <c r="C2138" s="32" t="s">
        <v>13605</v>
      </c>
      <c r="D2138" s="31" t="s">
        <v>13097</v>
      </c>
      <c r="E2138" s="40" t="s">
        <v>13606</v>
      </c>
      <c r="F2138" s="38" t="s">
        <v>9167</v>
      </c>
      <c r="G2138" s="34" t="s">
        <v>9692</v>
      </c>
      <c r="I2138" s="35" t="s">
        <v>13604</v>
      </c>
      <c r="J2138" s="36" t="s">
        <v>1625</v>
      </c>
    </row>
    <row r="2139" spans="1:10" x14ac:dyDescent="0.25">
      <c r="A2139" s="31" t="s">
        <v>1626</v>
      </c>
      <c r="B2139" s="31">
        <v>51.350200000000001</v>
      </c>
      <c r="C2139" s="32" t="s">
        <v>13607</v>
      </c>
      <c r="D2139" s="31" t="s">
        <v>13097</v>
      </c>
      <c r="E2139" s="40" t="s">
        <v>13608</v>
      </c>
      <c r="F2139" s="38" t="s">
        <v>9167</v>
      </c>
      <c r="G2139" s="34" t="s">
        <v>9692</v>
      </c>
      <c r="I2139" s="35" t="s">
        <v>13604</v>
      </c>
      <c r="J2139" s="36" t="s">
        <v>1626</v>
      </c>
    </row>
    <row r="2140" spans="1:10" x14ac:dyDescent="0.25">
      <c r="A2140" s="31" t="s">
        <v>1627</v>
      </c>
      <c r="B2140" s="31">
        <v>51.350299999999997</v>
      </c>
      <c r="C2140" s="32" t="s">
        <v>13609</v>
      </c>
      <c r="D2140" s="31" t="s">
        <v>13097</v>
      </c>
      <c r="E2140" s="40" t="s">
        <v>13610</v>
      </c>
      <c r="F2140" s="38" t="s">
        <v>9167</v>
      </c>
      <c r="G2140" s="34" t="s">
        <v>9692</v>
      </c>
      <c r="I2140" s="35" t="s">
        <v>13604</v>
      </c>
      <c r="J2140" s="36" t="s">
        <v>1627</v>
      </c>
    </row>
    <row r="2141" spans="1:10" x14ac:dyDescent="0.25">
      <c r="A2141" s="31" t="s">
        <v>1628</v>
      </c>
      <c r="B2141" s="31">
        <v>51.359900000000003</v>
      </c>
      <c r="C2141" s="32" t="s">
        <v>13611</v>
      </c>
      <c r="D2141" s="31" t="s">
        <v>13097</v>
      </c>
      <c r="E2141" s="40" t="s">
        <v>13612</v>
      </c>
      <c r="F2141" s="38" t="s">
        <v>9167</v>
      </c>
      <c r="G2141" s="34" t="s">
        <v>9692</v>
      </c>
      <c r="I2141" s="35" t="s">
        <v>13604</v>
      </c>
      <c r="J2141" s="36" t="s">
        <v>1628</v>
      </c>
    </row>
    <row r="2142" spans="1:10" x14ac:dyDescent="0.25">
      <c r="A2142" s="31" t="s">
        <v>1629</v>
      </c>
      <c r="B2142" s="31">
        <v>51.36</v>
      </c>
      <c r="C2142" s="32" t="s">
        <v>13613</v>
      </c>
      <c r="D2142" s="31" t="s">
        <v>13097</v>
      </c>
      <c r="E2142" s="40" t="s">
        <v>9693</v>
      </c>
      <c r="F2142" s="38" t="s">
        <v>9167</v>
      </c>
      <c r="G2142" s="34" t="s">
        <v>9693</v>
      </c>
      <c r="H2142" s="34" t="s">
        <v>9693</v>
      </c>
      <c r="I2142" s="35" t="s">
        <v>13613</v>
      </c>
      <c r="J2142" s="36" t="s">
        <v>1629</v>
      </c>
    </row>
    <row r="2143" spans="1:10" x14ac:dyDescent="0.25">
      <c r="A2143" s="31" t="s">
        <v>1630</v>
      </c>
      <c r="B2143" s="31">
        <v>51.360100000000003</v>
      </c>
      <c r="C2143" s="32" t="s">
        <v>13614</v>
      </c>
      <c r="D2143" s="31" t="s">
        <v>13097</v>
      </c>
      <c r="E2143" s="40" t="s">
        <v>13615</v>
      </c>
      <c r="F2143" s="38" t="s">
        <v>9167</v>
      </c>
      <c r="G2143" s="34" t="s">
        <v>9693</v>
      </c>
      <c r="I2143" s="35" t="s">
        <v>13613</v>
      </c>
      <c r="J2143" s="36" t="s">
        <v>1630</v>
      </c>
    </row>
    <row r="2144" spans="1:10" x14ac:dyDescent="0.25">
      <c r="A2144" s="31" t="s">
        <v>1631</v>
      </c>
      <c r="B2144" s="31">
        <v>51.360199999999999</v>
      </c>
      <c r="C2144" s="32" t="s">
        <v>13616</v>
      </c>
      <c r="D2144" s="31" t="s">
        <v>13097</v>
      </c>
      <c r="E2144" s="40" t="s">
        <v>13617</v>
      </c>
      <c r="F2144" s="38" t="s">
        <v>9167</v>
      </c>
      <c r="G2144" s="34" t="s">
        <v>9693</v>
      </c>
      <c r="I2144" s="35" t="s">
        <v>13613</v>
      </c>
      <c r="J2144" s="36" t="s">
        <v>1631</v>
      </c>
    </row>
    <row r="2145" spans="1:10" x14ac:dyDescent="0.25">
      <c r="A2145" s="31" t="s">
        <v>1632</v>
      </c>
      <c r="B2145" s="31">
        <v>51.360300000000002</v>
      </c>
      <c r="C2145" s="32" t="s">
        <v>13618</v>
      </c>
      <c r="D2145" s="31" t="s">
        <v>13097</v>
      </c>
      <c r="E2145" s="40" t="s">
        <v>13619</v>
      </c>
      <c r="F2145" s="38" t="s">
        <v>9167</v>
      </c>
      <c r="G2145" s="34" t="s">
        <v>9693</v>
      </c>
      <c r="I2145" s="35" t="s">
        <v>13613</v>
      </c>
      <c r="J2145" s="36" t="s">
        <v>1632</v>
      </c>
    </row>
    <row r="2146" spans="1:10" x14ac:dyDescent="0.25">
      <c r="A2146" s="31" t="s">
        <v>1633</v>
      </c>
      <c r="B2146" s="31">
        <v>51.369900000000001</v>
      </c>
      <c r="C2146" s="32" t="s">
        <v>13620</v>
      </c>
      <c r="D2146" s="31" t="s">
        <v>13097</v>
      </c>
      <c r="E2146" s="40" t="s">
        <v>13621</v>
      </c>
      <c r="F2146" s="38" t="s">
        <v>9167</v>
      </c>
      <c r="G2146" s="34" t="s">
        <v>9693</v>
      </c>
      <c r="I2146" s="35" t="s">
        <v>13613</v>
      </c>
      <c r="J2146" s="36" t="s">
        <v>1633</v>
      </c>
    </row>
    <row r="2147" spans="1:10" x14ac:dyDescent="0.25">
      <c r="A2147" s="31" t="s">
        <v>1634</v>
      </c>
      <c r="B2147" s="31">
        <v>51.37</v>
      </c>
      <c r="C2147" s="32" t="s">
        <v>13622</v>
      </c>
      <c r="D2147" s="31" t="s">
        <v>13097</v>
      </c>
      <c r="E2147" s="40" t="s">
        <v>9694</v>
      </c>
      <c r="F2147" s="38" t="s">
        <v>9167</v>
      </c>
      <c r="G2147" s="34" t="s">
        <v>9694</v>
      </c>
      <c r="H2147" s="34" t="s">
        <v>9694</v>
      </c>
      <c r="I2147" s="35" t="s">
        <v>13622</v>
      </c>
      <c r="J2147" s="36" t="s">
        <v>1634</v>
      </c>
    </row>
    <row r="2148" spans="1:10" x14ac:dyDescent="0.25">
      <c r="A2148" s="31" t="s">
        <v>1635</v>
      </c>
      <c r="B2148" s="31">
        <v>51.370100000000001</v>
      </c>
      <c r="C2148" s="32" t="s">
        <v>13623</v>
      </c>
      <c r="D2148" s="31" t="s">
        <v>13097</v>
      </c>
      <c r="E2148" s="40" t="s">
        <v>13624</v>
      </c>
      <c r="F2148" s="38" t="s">
        <v>9167</v>
      </c>
      <c r="G2148" s="34" t="s">
        <v>9694</v>
      </c>
      <c r="I2148" s="35" t="s">
        <v>13622</v>
      </c>
      <c r="J2148" s="36" t="s">
        <v>1635</v>
      </c>
    </row>
    <row r="2149" spans="1:10" x14ac:dyDescent="0.25">
      <c r="A2149" s="31" t="s">
        <v>1636</v>
      </c>
      <c r="B2149" s="31">
        <v>51.370199999999997</v>
      </c>
      <c r="C2149" s="32" t="s">
        <v>13625</v>
      </c>
      <c r="D2149" s="31" t="s">
        <v>13097</v>
      </c>
      <c r="E2149" s="40" t="s">
        <v>13626</v>
      </c>
      <c r="F2149" s="38" t="s">
        <v>9167</v>
      </c>
      <c r="G2149" s="34" t="s">
        <v>9694</v>
      </c>
      <c r="I2149" s="35" t="s">
        <v>13622</v>
      </c>
      <c r="J2149" s="36" t="s">
        <v>1636</v>
      </c>
    </row>
    <row r="2150" spans="1:10" x14ac:dyDescent="0.25">
      <c r="A2150" s="31" t="s">
        <v>1637</v>
      </c>
      <c r="B2150" s="31">
        <v>51.3703</v>
      </c>
      <c r="C2150" s="32" t="s">
        <v>13627</v>
      </c>
      <c r="D2150" s="31" t="s">
        <v>13097</v>
      </c>
      <c r="E2150" s="40" t="s">
        <v>13628</v>
      </c>
      <c r="F2150" s="38" t="s">
        <v>9167</v>
      </c>
      <c r="G2150" s="34" t="s">
        <v>9694</v>
      </c>
      <c r="I2150" s="35" t="s">
        <v>13622</v>
      </c>
      <c r="J2150" s="36" t="s">
        <v>1637</v>
      </c>
    </row>
    <row r="2151" spans="1:10" x14ac:dyDescent="0.25">
      <c r="A2151" s="31" t="s">
        <v>1638</v>
      </c>
      <c r="B2151" s="31">
        <v>51.370399999999997</v>
      </c>
      <c r="C2151" s="32" t="s">
        <v>13629</v>
      </c>
      <c r="D2151" s="31" t="s">
        <v>13097</v>
      </c>
      <c r="E2151" s="40" t="s">
        <v>13630</v>
      </c>
      <c r="F2151" s="38" t="s">
        <v>9167</v>
      </c>
      <c r="G2151" s="34" t="s">
        <v>9694</v>
      </c>
      <c r="I2151" s="35" t="s">
        <v>13622</v>
      </c>
      <c r="J2151" s="36" t="s">
        <v>1638</v>
      </c>
    </row>
    <row r="2152" spans="1:10" x14ac:dyDescent="0.25">
      <c r="A2152" s="31" t="s">
        <v>1639</v>
      </c>
      <c r="B2152" s="31">
        <v>51.379899999999999</v>
      </c>
      <c r="C2152" s="32" t="s">
        <v>13631</v>
      </c>
      <c r="D2152" s="31" t="s">
        <v>13097</v>
      </c>
      <c r="E2152" s="40" t="s">
        <v>13632</v>
      </c>
      <c r="F2152" s="38" t="s">
        <v>9167</v>
      </c>
      <c r="G2152" s="34" t="s">
        <v>9694</v>
      </c>
      <c r="I2152" s="35" t="s">
        <v>13622</v>
      </c>
      <c r="J2152" s="36" t="s">
        <v>1639</v>
      </c>
    </row>
    <row r="2153" spans="1:10" x14ac:dyDescent="0.25">
      <c r="A2153" s="31" t="s">
        <v>1640</v>
      </c>
      <c r="B2153" s="31">
        <v>51.38</v>
      </c>
      <c r="C2153" s="32" t="s">
        <v>13633</v>
      </c>
      <c r="D2153" s="31" t="s">
        <v>13097</v>
      </c>
      <c r="E2153" s="40" t="s">
        <v>9695</v>
      </c>
      <c r="F2153" s="38" t="s">
        <v>9167</v>
      </c>
      <c r="G2153" s="34" t="s">
        <v>9695</v>
      </c>
      <c r="H2153" s="34" t="s">
        <v>9695</v>
      </c>
      <c r="I2153" s="44" t="s">
        <v>13633</v>
      </c>
      <c r="J2153" s="36" t="s">
        <v>1640</v>
      </c>
    </row>
    <row r="2154" spans="1:10" x14ac:dyDescent="0.25">
      <c r="A2154" s="31" t="s">
        <v>1641</v>
      </c>
      <c r="B2154" s="31">
        <v>51.380099999999999</v>
      </c>
      <c r="C2154" s="32" t="s">
        <v>13634</v>
      </c>
      <c r="D2154" s="31" t="s">
        <v>13097</v>
      </c>
      <c r="E2154" s="40" t="s">
        <v>13635</v>
      </c>
      <c r="F2154" s="38" t="s">
        <v>9167</v>
      </c>
      <c r="G2154" s="34" t="s">
        <v>9695</v>
      </c>
      <c r="I2154" s="44" t="s">
        <v>13633</v>
      </c>
      <c r="J2154" s="36" t="s">
        <v>1641</v>
      </c>
    </row>
    <row r="2155" spans="1:10" x14ac:dyDescent="0.25">
      <c r="A2155" s="31" t="s">
        <v>1642</v>
      </c>
      <c r="B2155" s="31">
        <v>51.380200000000002</v>
      </c>
      <c r="C2155" s="32" t="s">
        <v>13636</v>
      </c>
      <c r="D2155" s="31" t="s">
        <v>13097</v>
      </c>
      <c r="E2155" s="40" t="s">
        <v>13637</v>
      </c>
      <c r="F2155" s="38" t="s">
        <v>9167</v>
      </c>
      <c r="G2155" s="34" t="s">
        <v>9695</v>
      </c>
      <c r="I2155" s="44" t="s">
        <v>13633</v>
      </c>
      <c r="J2155" s="36" t="s">
        <v>1642</v>
      </c>
    </row>
    <row r="2156" spans="1:10" x14ac:dyDescent="0.25">
      <c r="A2156" s="31" t="s">
        <v>1523</v>
      </c>
      <c r="B2156" s="31">
        <v>51.380299999999998</v>
      </c>
      <c r="C2156" s="32" t="s">
        <v>13638</v>
      </c>
      <c r="D2156" s="31" t="s">
        <v>13097</v>
      </c>
      <c r="E2156" s="40" t="s">
        <v>13639</v>
      </c>
      <c r="F2156" s="38" t="s">
        <v>9167</v>
      </c>
      <c r="G2156" s="34" t="s">
        <v>9695</v>
      </c>
      <c r="I2156" s="44" t="s">
        <v>13633</v>
      </c>
      <c r="J2156" s="36" t="s">
        <v>1523</v>
      </c>
    </row>
    <row r="2157" spans="1:10" x14ac:dyDescent="0.25">
      <c r="A2157" s="31" t="s">
        <v>1524</v>
      </c>
      <c r="B2157" s="31">
        <v>51.380400000000002</v>
      </c>
      <c r="C2157" s="32" t="s">
        <v>13640</v>
      </c>
      <c r="D2157" s="31" t="s">
        <v>13097</v>
      </c>
      <c r="E2157" s="40" t="s">
        <v>13641</v>
      </c>
      <c r="F2157" s="38" t="s">
        <v>9167</v>
      </c>
      <c r="G2157" s="34" t="s">
        <v>9695</v>
      </c>
      <c r="I2157" s="44" t="s">
        <v>13633</v>
      </c>
      <c r="J2157" s="36" t="s">
        <v>1524</v>
      </c>
    </row>
    <row r="2158" spans="1:10" x14ac:dyDescent="0.25">
      <c r="A2158" s="31" t="s">
        <v>1643</v>
      </c>
      <c r="B2158" s="31">
        <v>51.380499999999998</v>
      </c>
      <c r="C2158" s="32" t="s">
        <v>13642</v>
      </c>
      <c r="D2158" s="31" t="s">
        <v>13097</v>
      </c>
      <c r="E2158" s="40" t="s">
        <v>13643</v>
      </c>
      <c r="F2158" s="38" t="s">
        <v>9167</v>
      </c>
      <c r="G2158" s="34" t="s">
        <v>9695</v>
      </c>
      <c r="I2158" s="44" t="s">
        <v>13633</v>
      </c>
      <c r="J2158" s="36" t="s">
        <v>1643</v>
      </c>
    </row>
    <row r="2159" spans="1:10" x14ac:dyDescent="0.25">
      <c r="A2159" s="31" t="s">
        <v>1525</v>
      </c>
      <c r="B2159" s="31">
        <v>51.380600000000001</v>
      </c>
      <c r="C2159" s="32" t="s">
        <v>13644</v>
      </c>
      <c r="D2159" s="31" t="s">
        <v>13097</v>
      </c>
      <c r="E2159" s="40" t="s">
        <v>13645</v>
      </c>
      <c r="F2159" s="38" t="s">
        <v>9167</v>
      </c>
      <c r="G2159" s="34" t="s">
        <v>9695</v>
      </c>
      <c r="I2159" s="44" t="s">
        <v>13633</v>
      </c>
      <c r="J2159" s="36" t="s">
        <v>1525</v>
      </c>
    </row>
    <row r="2160" spans="1:10" x14ac:dyDescent="0.25">
      <c r="A2160" s="31" t="s">
        <v>1526</v>
      </c>
      <c r="B2160" s="31">
        <v>51.380699999999997</v>
      </c>
      <c r="C2160" s="32" t="s">
        <v>13646</v>
      </c>
      <c r="D2160" s="31" t="s">
        <v>13097</v>
      </c>
      <c r="E2160" s="40" t="s">
        <v>13647</v>
      </c>
      <c r="F2160" s="38" t="s">
        <v>9167</v>
      </c>
      <c r="G2160" s="34" t="s">
        <v>9695</v>
      </c>
      <c r="I2160" s="44" t="s">
        <v>13633</v>
      </c>
      <c r="J2160" s="36" t="s">
        <v>1526</v>
      </c>
    </row>
    <row r="2161" spans="1:10" x14ac:dyDescent="0.25">
      <c r="A2161" s="31" t="s">
        <v>1644</v>
      </c>
      <c r="B2161" s="31">
        <v>51.380800000000001</v>
      </c>
      <c r="C2161" s="32" t="s">
        <v>13648</v>
      </c>
      <c r="D2161" s="31" t="s">
        <v>13097</v>
      </c>
      <c r="E2161" s="40" t="s">
        <v>13649</v>
      </c>
      <c r="F2161" s="38" t="s">
        <v>9167</v>
      </c>
      <c r="G2161" s="34" t="s">
        <v>9695</v>
      </c>
      <c r="I2161" s="44" t="s">
        <v>13633</v>
      </c>
      <c r="J2161" s="36" t="s">
        <v>1644</v>
      </c>
    </row>
    <row r="2162" spans="1:10" x14ac:dyDescent="0.25">
      <c r="A2162" s="31" t="s">
        <v>1527</v>
      </c>
      <c r="B2162" s="31">
        <v>51.380899999999997</v>
      </c>
      <c r="C2162" s="32" t="s">
        <v>13650</v>
      </c>
      <c r="D2162" s="31" t="s">
        <v>13097</v>
      </c>
      <c r="E2162" s="40" t="s">
        <v>13651</v>
      </c>
      <c r="F2162" s="38" t="s">
        <v>9167</v>
      </c>
      <c r="G2162" s="34" t="s">
        <v>9695</v>
      </c>
      <c r="I2162" s="44" t="s">
        <v>13633</v>
      </c>
      <c r="J2162" s="36" t="s">
        <v>1527</v>
      </c>
    </row>
    <row r="2163" spans="1:10" x14ac:dyDescent="0.25">
      <c r="A2163" s="31" t="s">
        <v>1528</v>
      </c>
      <c r="B2163" s="31">
        <v>51.381</v>
      </c>
      <c r="C2163" s="32" t="s">
        <v>13652</v>
      </c>
      <c r="D2163" s="31" t="s">
        <v>13097</v>
      </c>
      <c r="E2163" s="40" t="s">
        <v>13653</v>
      </c>
      <c r="F2163" s="38" t="s">
        <v>9167</v>
      </c>
      <c r="G2163" s="34" t="s">
        <v>9695</v>
      </c>
      <c r="I2163" s="44" t="s">
        <v>13633</v>
      </c>
      <c r="J2163" s="36" t="s">
        <v>1528</v>
      </c>
    </row>
    <row r="2164" spans="1:10" x14ac:dyDescent="0.25">
      <c r="A2164" s="31" t="s">
        <v>1529</v>
      </c>
      <c r="B2164" s="31">
        <v>51.381100000000004</v>
      </c>
      <c r="C2164" s="32" t="s">
        <v>13654</v>
      </c>
      <c r="D2164" s="31" t="s">
        <v>13097</v>
      </c>
      <c r="E2164" s="40" t="s">
        <v>13655</v>
      </c>
      <c r="F2164" s="38" t="s">
        <v>9167</v>
      </c>
      <c r="G2164" s="34" t="s">
        <v>9695</v>
      </c>
      <c r="I2164" s="44" t="s">
        <v>13633</v>
      </c>
      <c r="J2164" s="36" t="s">
        <v>1529</v>
      </c>
    </row>
    <row r="2165" spans="1:10" x14ac:dyDescent="0.25">
      <c r="A2165" s="31" t="s">
        <v>1530</v>
      </c>
      <c r="B2165" s="31">
        <v>51.3812</v>
      </c>
      <c r="C2165" s="32" t="s">
        <v>13656</v>
      </c>
      <c r="D2165" s="31" t="s">
        <v>13097</v>
      </c>
      <c r="E2165" s="40" t="s">
        <v>13657</v>
      </c>
      <c r="F2165" s="38" t="s">
        <v>9167</v>
      </c>
      <c r="G2165" s="34" t="s">
        <v>9695</v>
      </c>
      <c r="I2165" s="44" t="s">
        <v>13633</v>
      </c>
      <c r="J2165" s="36" t="s">
        <v>1530</v>
      </c>
    </row>
    <row r="2166" spans="1:10" x14ac:dyDescent="0.25">
      <c r="A2166" s="31" t="s">
        <v>1531</v>
      </c>
      <c r="B2166" s="31">
        <v>51.381300000000003</v>
      </c>
      <c r="C2166" s="32" t="s">
        <v>13658</v>
      </c>
      <c r="D2166" s="31" t="s">
        <v>13097</v>
      </c>
      <c r="E2166" s="40" t="s">
        <v>13659</v>
      </c>
      <c r="F2166" s="38" t="s">
        <v>9167</v>
      </c>
      <c r="G2166" s="34" t="s">
        <v>9695</v>
      </c>
      <c r="I2166" s="44" t="s">
        <v>13633</v>
      </c>
      <c r="J2166" s="36" t="s">
        <v>1531</v>
      </c>
    </row>
    <row r="2167" spans="1:10" x14ac:dyDescent="0.25">
      <c r="A2167" s="31" t="s">
        <v>1532</v>
      </c>
      <c r="B2167" s="31">
        <v>51.381399999999999</v>
      </c>
      <c r="C2167" s="32" t="s">
        <v>13660</v>
      </c>
      <c r="D2167" s="31" t="s">
        <v>13097</v>
      </c>
      <c r="E2167" s="40" t="s">
        <v>13661</v>
      </c>
      <c r="F2167" s="38" t="s">
        <v>9167</v>
      </c>
      <c r="G2167" s="34" t="s">
        <v>9695</v>
      </c>
      <c r="I2167" s="44" t="s">
        <v>13633</v>
      </c>
      <c r="J2167" s="36" t="s">
        <v>1532</v>
      </c>
    </row>
    <row r="2168" spans="1:10" x14ac:dyDescent="0.25">
      <c r="A2168" s="31" t="s">
        <v>1533</v>
      </c>
      <c r="B2168" s="31">
        <v>51.381500000000003</v>
      </c>
      <c r="C2168" s="32" t="s">
        <v>13662</v>
      </c>
      <c r="D2168" s="31" t="s">
        <v>13097</v>
      </c>
      <c r="E2168" s="40" t="s">
        <v>13663</v>
      </c>
      <c r="F2168" s="38" t="s">
        <v>9167</v>
      </c>
      <c r="G2168" s="34" t="s">
        <v>9695</v>
      </c>
      <c r="I2168" s="44" t="s">
        <v>13633</v>
      </c>
      <c r="J2168" s="36" t="s">
        <v>1533</v>
      </c>
    </row>
    <row r="2169" spans="1:10" x14ac:dyDescent="0.25">
      <c r="A2169" s="31" t="s">
        <v>1645</v>
      </c>
      <c r="B2169" s="31">
        <v>51.381599999999999</v>
      </c>
      <c r="C2169" s="32" t="s">
        <v>13664</v>
      </c>
      <c r="D2169" s="31" t="s">
        <v>13097</v>
      </c>
      <c r="E2169" s="40" t="s">
        <v>13665</v>
      </c>
      <c r="F2169" s="38" t="s">
        <v>9167</v>
      </c>
      <c r="G2169" s="34" t="s">
        <v>9695</v>
      </c>
      <c r="I2169" s="44" t="s">
        <v>13633</v>
      </c>
      <c r="J2169" s="36" t="s">
        <v>1645</v>
      </c>
    </row>
    <row r="2170" spans="1:10" x14ac:dyDescent="0.25">
      <c r="A2170" s="31" t="s">
        <v>1646</v>
      </c>
      <c r="B2170" s="31">
        <v>51.381700000000002</v>
      </c>
      <c r="C2170" s="32" t="s">
        <v>13666</v>
      </c>
      <c r="D2170" s="31" t="s">
        <v>13097</v>
      </c>
      <c r="E2170" s="40" t="s">
        <v>13667</v>
      </c>
      <c r="F2170" s="38" t="s">
        <v>9167</v>
      </c>
      <c r="G2170" s="34" t="s">
        <v>9695</v>
      </c>
      <c r="I2170" s="44" t="s">
        <v>13633</v>
      </c>
      <c r="J2170" s="36" t="s">
        <v>1646</v>
      </c>
    </row>
    <row r="2171" spans="1:10" x14ac:dyDescent="0.25">
      <c r="A2171" s="31" t="s">
        <v>1647</v>
      </c>
      <c r="B2171" s="31">
        <v>51.381799999999998</v>
      </c>
      <c r="C2171" s="32" t="s">
        <v>13668</v>
      </c>
      <c r="D2171" s="31" t="s">
        <v>13097</v>
      </c>
      <c r="E2171" s="40" t="s">
        <v>13669</v>
      </c>
      <c r="F2171" s="38" t="s">
        <v>9167</v>
      </c>
      <c r="G2171" s="34" t="s">
        <v>9695</v>
      </c>
      <c r="I2171" s="44" t="s">
        <v>13633</v>
      </c>
      <c r="J2171" s="36" t="s">
        <v>1647</v>
      </c>
    </row>
    <row r="2172" spans="1:10" x14ac:dyDescent="0.25">
      <c r="A2172" s="31" t="s">
        <v>1648</v>
      </c>
      <c r="B2172" s="31">
        <v>51.381900000000002</v>
      </c>
      <c r="C2172" s="32" t="s">
        <v>13670</v>
      </c>
      <c r="D2172" s="31" t="s">
        <v>13097</v>
      </c>
      <c r="E2172" s="40" t="s">
        <v>13671</v>
      </c>
      <c r="F2172" s="38" t="s">
        <v>9167</v>
      </c>
      <c r="G2172" s="34" t="s">
        <v>9695</v>
      </c>
      <c r="I2172" s="44" t="s">
        <v>13633</v>
      </c>
      <c r="J2172" s="36" t="s">
        <v>1648</v>
      </c>
    </row>
    <row r="2173" spans="1:10" x14ac:dyDescent="0.25">
      <c r="A2173" s="31" t="s">
        <v>1649</v>
      </c>
      <c r="B2173" s="31">
        <v>51.381999999999998</v>
      </c>
      <c r="C2173" s="32" t="s">
        <v>13672</v>
      </c>
      <c r="D2173" s="31" t="s">
        <v>13097</v>
      </c>
      <c r="E2173" s="40" t="s">
        <v>13673</v>
      </c>
      <c r="F2173" s="38" t="s">
        <v>9167</v>
      </c>
      <c r="G2173" s="34" t="s">
        <v>9695</v>
      </c>
      <c r="I2173" s="44" t="s">
        <v>13633</v>
      </c>
      <c r="J2173" s="36" t="s">
        <v>1649</v>
      </c>
    </row>
    <row r="2174" spans="1:10" x14ac:dyDescent="0.25">
      <c r="A2174" s="31" t="s">
        <v>1650</v>
      </c>
      <c r="B2174" s="31">
        <v>51.382100000000001</v>
      </c>
      <c r="C2174" s="32" t="s">
        <v>13674</v>
      </c>
      <c r="D2174" s="31" t="s">
        <v>13097</v>
      </c>
      <c r="E2174" s="40" t="s">
        <v>13675</v>
      </c>
      <c r="F2174" s="38" t="s">
        <v>9167</v>
      </c>
      <c r="G2174" s="34" t="s">
        <v>9695</v>
      </c>
      <c r="I2174" s="44" t="s">
        <v>13633</v>
      </c>
      <c r="J2174" s="36" t="s">
        <v>1650</v>
      </c>
    </row>
    <row r="2175" spans="1:10" x14ac:dyDescent="0.25">
      <c r="A2175" s="31" t="s">
        <v>1651</v>
      </c>
      <c r="B2175" s="31">
        <v>51.382199999999997</v>
      </c>
      <c r="C2175" s="32" t="s">
        <v>13676</v>
      </c>
      <c r="D2175" s="31" t="s">
        <v>13097</v>
      </c>
      <c r="E2175" s="40" t="s">
        <v>13677</v>
      </c>
      <c r="F2175" s="38" t="s">
        <v>9167</v>
      </c>
      <c r="G2175" s="34" t="s">
        <v>9695</v>
      </c>
      <c r="I2175" s="44" t="s">
        <v>13633</v>
      </c>
      <c r="J2175" s="36" t="s">
        <v>1651</v>
      </c>
    </row>
    <row r="2176" spans="1:10" x14ac:dyDescent="0.25">
      <c r="A2176" s="31" t="s">
        <v>1793</v>
      </c>
      <c r="B2176" s="31">
        <v>51.382300000000001</v>
      </c>
      <c r="C2176" s="32" t="s">
        <v>13678</v>
      </c>
      <c r="D2176" s="31" t="s">
        <v>13097</v>
      </c>
      <c r="E2176" s="40" t="s">
        <v>13679</v>
      </c>
      <c r="F2176" s="38" t="s">
        <v>9167</v>
      </c>
      <c r="G2176" s="34" t="s">
        <v>9695</v>
      </c>
      <c r="I2176" s="44" t="s">
        <v>13633</v>
      </c>
      <c r="J2176" s="36" t="s">
        <v>1793</v>
      </c>
    </row>
    <row r="2177" spans="1:10" x14ac:dyDescent="0.25">
      <c r="A2177" s="31" t="s">
        <v>2151</v>
      </c>
      <c r="B2177" s="31">
        <v>51.382399999999997</v>
      </c>
      <c r="C2177" s="32" t="s">
        <v>13680</v>
      </c>
      <c r="D2177" s="31" t="s">
        <v>13097</v>
      </c>
      <c r="E2177" s="40" t="s">
        <v>13681</v>
      </c>
      <c r="F2177" s="38" t="s">
        <v>9167</v>
      </c>
      <c r="G2177" s="34" t="s">
        <v>9695</v>
      </c>
      <c r="I2177" s="44" t="s">
        <v>13633</v>
      </c>
      <c r="J2177" s="36" t="s">
        <v>2151</v>
      </c>
    </row>
    <row r="2178" spans="1:10" x14ac:dyDescent="0.25">
      <c r="A2178" s="31" t="s">
        <v>1652</v>
      </c>
      <c r="B2178" s="31">
        <v>51.389899999999997</v>
      </c>
      <c r="C2178" s="32" t="s">
        <v>13682</v>
      </c>
      <c r="D2178" s="31" t="s">
        <v>13097</v>
      </c>
      <c r="E2178" s="40" t="s">
        <v>13683</v>
      </c>
      <c r="F2178" s="38" t="s">
        <v>9167</v>
      </c>
      <c r="G2178" s="34" t="s">
        <v>9695</v>
      </c>
      <c r="I2178" s="44" t="s">
        <v>13633</v>
      </c>
      <c r="J2178" s="36" t="s">
        <v>1652</v>
      </c>
    </row>
    <row r="2179" spans="1:10" x14ac:dyDescent="0.25">
      <c r="A2179" s="31" t="s">
        <v>1653</v>
      </c>
      <c r="B2179" s="31">
        <v>51.39</v>
      </c>
      <c r="C2179" s="32" t="s">
        <v>13684</v>
      </c>
      <c r="D2179" s="31" t="s">
        <v>13097</v>
      </c>
      <c r="E2179" s="40" t="s">
        <v>9696</v>
      </c>
      <c r="F2179" s="38" t="s">
        <v>9167</v>
      </c>
      <c r="G2179" s="34" t="s">
        <v>9696</v>
      </c>
      <c r="H2179" s="34" t="s">
        <v>9696</v>
      </c>
      <c r="I2179" s="35" t="s">
        <v>13684</v>
      </c>
      <c r="J2179" s="36" t="s">
        <v>1653</v>
      </c>
    </row>
    <row r="2180" spans="1:10" x14ac:dyDescent="0.25">
      <c r="A2180" s="31" t="s">
        <v>1654</v>
      </c>
      <c r="B2180" s="31">
        <v>51.390099999999997</v>
      </c>
      <c r="C2180" s="32" t="s">
        <v>13685</v>
      </c>
      <c r="D2180" s="31" t="s">
        <v>13097</v>
      </c>
      <c r="E2180" s="40" t="s">
        <v>13686</v>
      </c>
      <c r="F2180" s="38" t="s">
        <v>9167</v>
      </c>
      <c r="G2180" s="34" t="s">
        <v>9696</v>
      </c>
      <c r="I2180" s="35" t="s">
        <v>13684</v>
      </c>
      <c r="J2180" s="36" t="s">
        <v>1654</v>
      </c>
    </row>
    <row r="2181" spans="1:10" x14ac:dyDescent="0.25">
      <c r="A2181" s="31" t="s">
        <v>1655</v>
      </c>
      <c r="B2181" s="31">
        <v>51.3902</v>
      </c>
      <c r="C2181" s="32" t="s">
        <v>13687</v>
      </c>
      <c r="D2181" s="31" t="s">
        <v>13097</v>
      </c>
      <c r="E2181" s="40" t="s">
        <v>13688</v>
      </c>
      <c r="F2181" s="38" t="s">
        <v>9167</v>
      </c>
      <c r="G2181" s="34" t="s">
        <v>9696</v>
      </c>
      <c r="I2181" s="35" t="s">
        <v>13684</v>
      </c>
      <c r="J2181" s="36" t="s">
        <v>1655</v>
      </c>
    </row>
    <row r="2182" spans="1:10" x14ac:dyDescent="0.25">
      <c r="A2182" s="31" t="s">
        <v>1656</v>
      </c>
      <c r="B2182" s="31">
        <v>51.399900000000002</v>
      </c>
      <c r="C2182" s="32" t="s">
        <v>13689</v>
      </c>
      <c r="D2182" s="31" t="s">
        <v>13097</v>
      </c>
      <c r="E2182" s="40" t="s">
        <v>13690</v>
      </c>
      <c r="F2182" s="38" t="s">
        <v>9167</v>
      </c>
      <c r="G2182" s="34" t="s">
        <v>9696</v>
      </c>
      <c r="I2182" s="35" t="s">
        <v>13684</v>
      </c>
      <c r="J2182" s="36" t="s">
        <v>1656</v>
      </c>
    </row>
    <row r="2183" spans="1:10" x14ac:dyDescent="0.25">
      <c r="A2183" s="31" t="s">
        <v>1657</v>
      </c>
      <c r="B2183" s="31">
        <v>51.99</v>
      </c>
      <c r="C2183" s="32" t="s">
        <v>13691</v>
      </c>
      <c r="D2183" s="31" t="s">
        <v>13097</v>
      </c>
      <c r="E2183" s="40" t="s">
        <v>9697</v>
      </c>
      <c r="F2183" s="38" t="s">
        <v>9167</v>
      </c>
      <c r="G2183" s="34" t="s">
        <v>9697</v>
      </c>
      <c r="H2183" s="34" t="s">
        <v>9697</v>
      </c>
      <c r="I2183" s="44" t="s">
        <v>13691</v>
      </c>
      <c r="J2183" s="36" t="s">
        <v>1657</v>
      </c>
    </row>
    <row r="2184" spans="1:10" x14ac:dyDescent="0.25">
      <c r="A2184" s="31" t="s">
        <v>1793</v>
      </c>
      <c r="B2184" s="31">
        <v>51.997999999999998</v>
      </c>
      <c r="C2184" s="32" t="s">
        <v>13692</v>
      </c>
      <c r="D2184" s="31" t="s">
        <v>13097</v>
      </c>
      <c r="E2184" s="40" t="s">
        <v>13693</v>
      </c>
      <c r="F2184" s="38" t="s">
        <v>9167</v>
      </c>
      <c r="G2184" s="34" t="s">
        <v>9697</v>
      </c>
      <c r="I2184" s="44" t="s">
        <v>13691</v>
      </c>
      <c r="J2184" s="36" t="s">
        <v>1793</v>
      </c>
    </row>
    <row r="2185" spans="1:10" x14ac:dyDescent="0.25">
      <c r="A2185" s="31" t="s">
        <v>1657</v>
      </c>
      <c r="B2185" s="31">
        <v>51.999899999999997</v>
      </c>
      <c r="C2185" s="32" t="s">
        <v>13694</v>
      </c>
      <c r="D2185" s="31" t="s">
        <v>13097</v>
      </c>
      <c r="E2185" s="40" t="s">
        <v>13695</v>
      </c>
      <c r="F2185" s="38" t="s">
        <v>9167</v>
      </c>
      <c r="G2185" s="34" t="s">
        <v>9697</v>
      </c>
      <c r="I2185" s="44" t="s">
        <v>13691</v>
      </c>
      <c r="J2185" s="36" t="s">
        <v>1657</v>
      </c>
    </row>
    <row r="2186" spans="1:10" x14ac:dyDescent="0.25">
      <c r="A2186" s="31" t="s">
        <v>1658</v>
      </c>
      <c r="B2186" s="31">
        <v>52</v>
      </c>
      <c r="C2186" s="32" t="s">
        <v>13696</v>
      </c>
      <c r="D2186" s="31" t="s">
        <v>13696</v>
      </c>
      <c r="E2186" s="40" t="s">
        <v>9698</v>
      </c>
      <c r="F2186" s="38" t="s">
        <v>9188</v>
      </c>
      <c r="G2186" s="34" t="s">
        <v>9698</v>
      </c>
      <c r="H2186" s="34" t="s">
        <v>9698</v>
      </c>
      <c r="I2186" s="45" t="s">
        <v>13696</v>
      </c>
      <c r="J2186" s="36" t="s">
        <v>1658</v>
      </c>
    </row>
    <row r="2187" spans="1:10" x14ac:dyDescent="0.25">
      <c r="A2187" s="31" t="s">
        <v>1659</v>
      </c>
      <c r="B2187" s="31">
        <v>52.01</v>
      </c>
      <c r="C2187" s="32" t="s">
        <v>13697</v>
      </c>
      <c r="D2187" s="31" t="s">
        <v>13696</v>
      </c>
      <c r="E2187" s="40" t="s">
        <v>9699</v>
      </c>
      <c r="F2187" s="38" t="s">
        <v>9188</v>
      </c>
      <c r="G2187" s="34" t="s">
        <v>9699</v>
      </c>
      <c r="H2187" s="34" t="s">
        <v>9699</v>
      </c>
      <c r="I2187" s="44" t="s">
        <v>13697</v>
      </c>
      <c r="J2187" s="36" t="s">
        <v>1659</v>
      </c>
    </row>
    <row r="2188" spans="1:10" x14ac:dyDescent="0.25">
      <c r="A2188" s="31" t="s">
        <v>1659</v>
      </c>
      <c r="B2188" s="31">
        <v>52.010100000000001</v>
      </c>
      <c r="C2188" s="32" t="s">
        <v>13698</v>
      </c>
      <c r="D2188" s="31" t="s">
        <v>13696</v>
      </c>
      <c r="E2188" s="40" t="s">
        <v>13699</v>
      </c>
      <c r="F2188" s="38" t="s">
        <v>9188</v>
      </c>
      <c r="G2188" s="34" t="s">
        <v>9699</v>
      </c>
      <c r="I2188" s="44" t="s">
        <v>13697</v>
      </c>
      <c r="J2188" s="36" t="s">
        <v>1659</v>
      </c>
    </row>
    <row r="2189" spans="1:10" x14ac:dyDescent="0.25">
      <c r="A2189" s="31" t="s">
        <v>1660</v>
      </c>
      <c r="B2189" s="31">
        <v>52.02</v>
      </c>
      <c r="C2189" s="32" t="s">
        <v>13700</v>
      </c>
      <c r="D2189" s="31" t="s">
        <v>13696</v>
      </c>
      <c r="E2189" s="40" t="s">
        <v>9700</v>
      </c>
      <c r="F2189" s="38" t="s">
        <v>9188</v>
      </c>
      <c r="G2189" s="34" t="s">
        <v>9700</v>
      </c>
      <c r="H2189" s="34" t="s">
        <v>9700</v>
      </c>
      <c r="I2189" s="44" t="s">
        <v>13700</v>
      </c>
      <c r="J2189" s="36" t="s">
        <v>1660</v>
      </c>
    </row>
    <row r="2190" spans="1:10" x14ac:dyDescent="0.25">
      <c r="A2190" s="31" t="s">
        <v>1661</v>
      </c>
      <c r="B2190" s="31">
        <v>52.020099999999999</v>
      </c>
      <c r="C2190" s="32" t="s">
        <v>13701</v>
      </c>
      <c r="D2190" s="31" t="s">
        <v>13696</v>
      </c>
      <c r="E2190" s="40" t="s">
        <v>13702</v>
      </c>
      <c r="F2190" s="38" t="s">
        <v>9188</v>
      </c>
      <c r="G2190" s="34" t="s">
        <v>9700</v>
      </c>
      <c r="I2190" s="44" t="s">
        <v>13700</v>
      </c>
      <c r="J2190" s="36" t="s">
        <v>1661</v>
      </c>
    </row>
    <row r="2191" spans="1:10" x14ac:dyDescent="0.25">
      <c r="A2191" s="31" t="s">
        <v>1662</v>
      </c>
      <c r="B2191" s="31">
        <v>52.020200000000003</v>
      </c>
      <c r="C2191" s="32" t="s">
        <v>13703</v>
      </c>
      <c r="D2191" s="31" t="s">
        <v>13696</v>
      </c>
      <c r="E2191" s="40" t="s">
        <v>13704</v>
      </c>
      <c r="F2191" s="38" t="s">
        <v>9188</v>
      </c>
      <c r="G2191" s="34" t="s">
        <v>9700</v>
      </c>
      <c r="I2191" s="44" t="s">
        <v>13700</v>
      </c>
      <c r="J2191" s="36" t="s">
        <v>1662</v>
      </c>
    </row>
    <row r="2192" spans="1:10" x14ac:dyDescent="0.25">
      <c r="A2192" s="31" t="s">
        <v>1663</v>
      </c>
      <c r="B2192" s="31">
        <v>52.020299999999999</v>
      </c>
      <c r="C2192" s="32" t="s">
        <v>13705</v>
      </c>
      <c r="D2192" s="31" t="s">
        <v>13696</v>
      </c>
      <c r="E2192" s="40" t="s">
        <v>13706</v>
      </c>
      <c r="F2192" s="38" t="s">
        <v>9188</v>
      </c>
      <c r="G2192" s="34" t="s">
        <v>9700</v>
      </c>
      <c r="I2192" s="44" t="s">
        <v>13700</v>
      </c>
      <c r="J2192" s="36" t="s">
        <v>1663</v>
      </c>
    </row>
    <row r="2193" spans="1:10" x14ac:dyDescent="0.25">
      <c r="A2193" s="31" t="s">
        <v>1664</v>
      </c>
      <c r="B2193" s="31">
        <v>52.020400000000002</v>
      </c>
      <c r="C2193" s="32" t="s">
        <v>13707</v>
      </c>
      <c r="D2193" s="31" t="s">
        <v>13696</v>
      </c>
      <c r="E2193" s="40" t="s">
        <v>13708</v>
      </c>
      <c r="F2193" s="38" t="s">
        <v>9188</v>
      </c>
      <c r="G2193" s="34" t="s">
        <v>9700</v>
      </c>
      <c r="I2193" s="44" t="s">
        <v>13700</v>
      </c>
      <c r="J2193" s="36" t="s">
        <v>1664</v>
      </c>
    </row>
    <row r="2194" spans="1:10" x14ac:dyDescent="0.25">
      <c r="A2194" s="31" t="s">
        <v>1665</v>
      </c>
      <c r="B2194" s="31">
        <v>52.020499999999998</v>
      </c>
      <c r="C2194" s="32" t="s">
        <v>13709</v>
      </c>
      <c r="D2194" s="31" t="s">
        <v>13696</v>
      </c>
      <c r="E2194" s="40" t="s">
        <v>13710</v>
      </c>
      <c r="F2194" s="38" t="s">
        <v>9188</v>
      </c>
      <c r="G2194" s="34" t="s">
        <v>9700</v>
      </c>
      <c r="I2194" s="44" t="s">
        <v>13700</v>
      </c>
      <c r="J2194" s="36" t="s">
        <v>1665</v>
      </c>
    </row>
    <row r="2195" spans="1:10" x14ac:dyDescent="0.25">
      <c r="A2195" s="31" t="s">
        <v>1666</v>
      </c>
      <c r="B2195" s="31">
        <v>52.020600000000002</v>
      </c>
      <c r="C2195" s="32" t="s">
        <v>13711</v>
      </c>
      <c r="D2195" s="31" t="s">
        <v>13696</v>
      </c>
      <c r="E2195" s="40" t="s">
        <v>13712</v>
      </c>
      <c r="F2195" s="38" t="s">
        <v>9188</v>
      </c>
      <c r="G2195" s="34" t="s">
        <v>9700</v>
      </c>
      <c r="I2195" s="44" t="s">
        <v>13700</v>
      </c>
      <c r="J2195" s="36" t="s">
        <v>1666</v>
      </c>
    </row>
    <row r="2196" spans="1:10" x14ac:dyDescent="0.25">
      <c r="A2196" s="31" t="s">
        <v>1667</v>
      </c>
      <c r="B2196" s="31">
        <v>52.020699999999998</v>
      </c>
      <c r="C2196" s="32" t="s">
        <v>13713</v>
      </c>
      <c r="D2196" s="31" t="s">
        <v>13696</v>
      </c>
      <c r="E2196" s="40" t="s">
        <v>13714</v>
      </c>
      <c r="F2196" s="38" t="s">
        <v>9188</v>
      </c>
      <c r="G2196" s="34" t="s">
        <v>9700</v>
      </c>
      <c r="I2196" s="44" t="s">
        <v>13700</v>
      </c>
      <c r="J2196" s="36" t="s">
        <v>1667</v>
      </c>
    </row>
    <row r="2197" spans="1:10" x14ac:dyDescent="0.25">
      <c r="A2197" s="31" t="s">
        <v>1668</v>
      </c>
      <c r="B2197" s="31">
        <v>52.020800000000001</v>
      </c>
      <c r="C2197" s="32" t="s">
        <v>13715</v>
      </c>
      <c r="D2197" s="31" t="s">
        <v>13696</v>
      </c>
      <c r="E2197" s="40" t="s">
        <v>13716</v>
      </c>
      <c r="F2197" s="38" t="s">
        <v>9188</v>
      </c>
      <c r="G2197" s="34" t="s">
        <v>9700</v>
      </c>
      <c r="I2197" s="44" t="s">
        <v>13700</v>
      </c>
      <c r="J2197" s="36" t="s">
        <v>1668</v>
      </c>
    </row>
    <row r="2198" spans="1:10" x14ac:dyDescent="0.25">
      <c r="A2198" s="31" t="s">
        <v>1669</v>
      </c>
      <c r="B2198" s="31">
        <v>52.020899999999997</v>
      </c>
      <c r="C2198" s="32" t="s">
        <v>13717</v>
      </c>
      <c r="D2198" s="31" t="s">
        <v>13696</v>
      </c>
      <c r="E2198" s="40" t="s">
        <v>13718</v>
      </c>
      <c r="F2198" s="38" t="s">
        <v>9188</v>
      </c>
      <c r="G2198" s="34" t="s">
        <v>9700</v>
      </c>
      <c r="I2198" s="44" t="s">
        <v>13700</v>
      </c>
      <c r="J2198" s="36" t="s">
        <v>1669</v>
      </c>
    </row>
    <row r="2199" spans="1:10" x14ac:dyDescent="0.25">
      <c r="A2199" s="31" t="s">
        <v>1670</v>
      </c>
      <c r="B2199" s="31">
        <v>52.021000000000001</v>
      </c>
      <c r="C2199" s="32" t="s">
        <v>13719</v>
      </c>
      <c r="D2199" s="31" t="s">
        <v>13696</v>
      </c>
      <c r="E2199" s="40" t="s">
        <v>13720</v>
      </c>
      <c r="F2199" s="38" t="s">
        <v>9188</v>
      </c>
      <c r="G2199" s="34" t="s">
        <v>9700</v>
      </c>
      <c r="I2199" s="44" t="s">
        <v>13700</v>
      </c>
      <c r="J2199" s="36" t="s">
        <v>1670</v>
      </c>
    </row>
    <row r="2200" spans="1:10" x14ac:dyDescent="0.25">
      <c r="A2200" s="31" t="s">
        <v>1671</v>
      </c>
      <c r="B2200" s="31">
        <v>52.021099999999997</v>
      </c>
      <c r="C2200" s="32" t="s">
        <v>13721</v>
      </c>
      <c r="D2200" s="31" t="s">
        <v>13696</v>
      </c>
      <c r="E2200" s="40" t="s">
        <v>13722</v>
      </c>
      <c r="F2200" s="38" t="s">
        <v>9188</v>
      </c>
      <c r="G2200" s="34" t="s">
        <v>9700</v>
      </c>
      <c r="I2200" s="44" t="s">
        <v>13700</v>
      </c>
      <c r="J2200" s="36" t="s">
        <v>1671</v>
      </c>
    </row>
    <row r="2201" spans="1:10" x14ac:dyDescent="0.25">
      <c r="A2201" s="31" t="s">
        <v>1672</v>
      </c>
      <c r="B2201" s="31">
        <v>52.0212</v>
      </c>
      <c r="C2201" s="32" t="s">
        <v>13723</v>
      </c>
      <c r="D2201" s="31" t="s">
        <v>13696</v>
      </c>
      <c r="E2201" s="40" t="s">
        <v>13724</v>
      </c>
      <c r="F2201" s="38" t="s">
        <v>9188</v>
      </c>
      <c r="G2201" s="34" t="s">
        <v>9700</v>
      </c>
      <c r="I2201" s="44" t="s">
        <v>13700</v>
      </c>
      <c r="J2201" s="36" t="s">
        <v>1672</v>
      </c>
    </row>
    <row r="2202" spans="1:10" x14ac:dyDescent="0.25">
      <c r="A2202" s="31" t="s">
        <v>1673</v>
      </c>
      <c r="B2202" s="31">
        <v>52.021299999999997</v>
      </c>
      <c r="C2202" s="32" t="s">
        <v>13725</v>
      </c>
      <c r="D2202" s="31" t="s">
        <v>13696</v>
      </c>
      <c r="E2202" s="40" t="s">
        <v>13726</v>
      </c>
      <c r="F2202" s="38" t="s">
        <v>9188</v>
      </c>
      <c r="G2202" s="34" t="s">
        <v>9700</v>
      </c>
      <c r="I2202" s="44" t="s">
        <v>13700</v>
      </c>
      <c r="J2202" s="36" t="s">
        <v>1673</v>
      </c>
    </row>
    <row r="2203" spans="1:10" x14ac:dyDescent="0.25">
      <c r="A2203" s="31" t="s">
        <v>2152</v>
      </c>
      <c r="B2203" s="31">
        <v>52.0214</v>
      </c>
      <c r="C2203" s="32" t="s">
        <v>13727</v>
      </c>
      <c r="D2203" s="31" t="s">
        <v>13696</v>
      </c>
      <c r="E2203" s="40" t="s">
        <v>13728</v>
      </c>
      <c r="F2203" s="38" t="s">
        <v>9188</v>
      </c>
      <c r="G2203" s="34" t="s">
        <v>9700</v>
      </c>
      <c r="I2203" s="44" t="s">
        <v>13700</v>
      </c>
      <c r="J2203" s="36" t="s">
        <v>2152</v>
      </c>
    </row>
    <row r="2204" spans="1:10" x14ac:dyDescent="0.25">
      <c r="A2204" s="31" t="s">
        <v>2153</v>
      </c>
      <c r="B2204" s="31">
        <v>52.021500000000003</v>
      </c>
      <c r="C2204" s="32" t="s">
        <v>13729</v>
      </c>
      <c r="D2204" s="31" t="s">
        <v>13696</v>
      </c>
      <c r="E2204" s="40" t="s">
        <v>13730</v>
      </c>
      <c r="F2204" s="38" t="s">
        <v>9188</v>
      </c>
      <c r="G2204" s="34" t="s">
        <v>9700</v>
      </c>
      <c r="I2204" s="44" t="s">
        <v>13700</v>
      </c>
      <c r="J2204" s="36" t="s">
        <v>2153</v>
      </c>
    </row>
    <row r="2205" spans="1:10" x14ac:dyDescent="0.25">
      <c r="A2205" s="31" t="s">
        <v>2154</v>
      </c>
      <c r="B2205" s="31">
        <v>52.021599999999999</v>
      </c>
      <c r="C2205" s="32" t="s">
        <v>13731</v>
      </c>
      <c r="D2205" s="31" t="s">
        <v>13696</v>
      </c>
      <c r="E2205" s="40" t="s">
        <v>13732</v>
      </c>
      <c r="F2205" s="38" t="s">
        <v>9188</v>
      </c>
      <c r="G2205" s="34" t="s">
        <v>9700</v>
      </c>
      <c r="I2205" s="44" t="s">
        <v>13700</v>
      </c>
      <c r="J2205" s="36" t="s">
        <v>2154</v>
      </c>
    </row>
    <row r="2206" spans="1:10" x14ac:dyDescent="0.25">
      <c r="A2206" s="31" t="s">
        <v>1674</v>
      </c>
      <c r="B2206" s="31">
        <v>52.029899999999998</v>
      </c>
      <c r="C2206" s="32" t="s">
        <v>13733</v>
      </c>
      <c r="D2206" s="31" t="s">
        <v>13696</v>
      </c>
      <c r="E2206" s="40" t="s">
        <v>13734</v>
      </c>
      <c r="F2206" s="38" t="s">
        <v>9188</v>
      </c>
      <c r="G2206" s="34" t="s">
        <v>9700</v>
      </c>
      <c r="I2206" s="44" t="s">
        <v>13700</v>
      </c>
      <c r="J2206" s="36" t="s">
        <v>1674</v>
      </c>
    </row>
    <row r="2207" spans="1:10" x14ac:dyDescent="0.25">
      <c r="A2207" s="31" t="s">
        <v>1675</v>
      </c>
      <c r="B2207" s="31">
        <v>52.03</v>
      </c>
      <c r="C2207" s="32" t="s">
        <v>13735</v>
      </c>
      <c r="D2207" s="31" t="s">
        <v>13696</v>
      </c>
      <c r="E2207" s="40" t="s">
        <v>9701</v>
      </c>
      <c r="F2207" s="38" t="s">
        <v>9188</v>
      </c>
      <c r="G2207" s="34" t="s">
        <v>9701</v>
      </c>
      <c r="H2207" s="34" t="s">
        <v>9701</v>
      </c>
      <c r="I2207" s="44" t="s">
        <v>13735</v>
      </c>
      <c r="J2207" s="36" t="s">
        <v>1675</v>
      </c>
    </row>
    <row r="2208" spans="1:10" x14ac:dyDescent="0.25">
      <c r="A2208" s="31" t="s">
        <v>1676</v>
      </c>
      <c r="B2208" s="31">
        <v>52.030099999999997</v>
      </c>
      <c r="C2208" s="32" t="s">
        <v>13736</v>
      </c>
      <c r="D2208" s="31" t="s">
        <v>13696</v>
      </c>
      <c r="E2208" s="40" t="s">
        <v>13737</v>
      </c>
      <c r="F2208" s="38" t="s">
        <v>9188</v>
      </c>
      <c r="G2208" s="34" t="s">
        <v>9701</v>
      </c>
      <c r="I2208" s="44" t="s">
        <v>13735</v>
      </c>
      <c r="J2208" s="36" t="s">
        <v>1676</v>
      </c>
    </row>
    <row r="2209" spans="1:10" x14ac:dyDescent="0.25">
      <c r="A2209" s="31" t="s">
        <v>1677</v>
      </c>
      <c r="B2209" s="31">
        <v>52.030200000000001</v>
      </c>
      <c r="C2209" s="32" t="s">
        <v>13738</v>
      </c>
      <c r="D2209" s="31" t="s">
        <v>13696</v>
      </c>
      <c r="E2209" s="40" t="s">
        <v>13739</v>
      </c>
      <c r="F2209" s="38" t="s">
        <v>9188</v>
      </c>
      <c r="G2209" s="34" t="s">
        <v>9701</v>
      </c>
      <c r="I2209" s="44" t="s">
        <v>13735</v>
      </c>
      <c r="J2209" s="36" t="s">
        <v>1677</v>
      </c>
    </row>
    <row r="2210" spans="1:10" x14ac:dyDescent="0.25">
      <c r="A2210" s="31" t="s">
        <v>1678</v>
      </c>
      <c r="B2210" s="31">
        <v>52.030299999999997</v>
      </c>
      <c r="C2210" s="32" t="s">
        <v>13740</v>
      </c>
      <c r="D2210" s="31" t="s">
        <v>13696</v>
      </c>
      <c r="E2210" s="40" t="s">
        <v>13741</v>
      </c>
      <c r="F2210" s="38" t="s">
        <v>9188</v>
      </c>
      <c r="G2210" s="34" t="s">
        <v>9701</v>
      </c>
      <c r="I2210" s="44" t="s">
        <v>13735</v>
      </c>
      <c r="J2210" s="36" t="s">
        <v>1678</v>
      </c>
    </row>
    <row r="2211" spans="1:10" x14ac:dyDescent="0.25">
      <c r="A2211" s="31" t="s">
        <v>1679</v>
      </c>
      <c r="B2211" s="31">
        <v>52.0304</v>
      </c>
      <c r="C2211" s="32" t="s">
        <v>13742</v>
      </c>
      <c r="D2211" s="31" t="s">
        <v>13696</v>
      </c>
      <c r="E2211" s="40" t="s">
        <v>13743</v>
      </c>
      <c r="F2211" s="38" t="s">
        <v>9188</v>
      </c>
      <c r="G2211" s="34" t="s">
        <v>9701</v>
      </c>
      <c r="I2211" s="44" t="s">
        <v>13735</v>
      </c>
      <c r="J2211" s="36" t="s">
        <v>1679</v>
      </c>
    </row>
    <row r="2212" spans="1:10" x14ac:dyDescent="0.25">
      <c r="A2212" s="31" t="s">
        <v>1680</v>
      </c>
      <c r="B2212" s="31">
        <v>52.030500000000004</v>
      </c>
      <c r="C2212" s="32" t="s">
        <v>13744</v>
      </c>
      <c r="D2212" s="31" t="s">
        <v>13696</v>
      </c>
      <c r="E2212" s="40" t="s">
        <v>13745</v>
      </c>
      <c r="F2212" s="38" t="s">
        <v>9188</v>
      </c>
      <c r="G2212" s="34" t="s">
        <v>9701</v>
      </c>
      <c r="I2212" s="44" t="s">
        <v>13735</v>
      </c>
      <c r="J2212" s="36" t="s">
        <v>1680</v>
      </c>
    </row>
    <row r="2213" spans="1:10" x14ac:dyDescent="0.25">
      <c r="A2213" s="31" t="s">
        <v>1681</v>
      </c>
      <c r="B2213" s="31">
        <v>52.039900000000003</v>
      </c>
      <c r="C2213" s="32" t="s">
        <v>13746</v>
      </c>
      <c r="D2213" s="31" t="s">
        <v>13696</v>
      </c>
      <c r="E2213" s="40" t="s">
        <v>13747</v>
      </c>
      <c r="F2213" s="38" t="s">
        <v>9188</v>
      </c>
      <c r="G2213" s="34" t="s">
        <v>9701</v>
      </c>
      <c r="I2213" s="44" t="s">
        <v>13735</v>
      </c>
      <c r="J2213" s="36" t="s">
        <v>1681</v>
      </c>
    </row>
    <row r="2214" spans="1:10" x14ac:dyDescent="0.25">
      <c r="A2214" s="31" t="s">
        <v>1682</v>
      </c>
      <c r="B2214" s="31">
        <v>52.04</v>
      </c>
      <c r="C2214" s="32" t="s">
        <v>13748</v>
      </c>
      <c r="D2214" s="31" t="s">
        <v>13696</v>
      </c>
      <c r="E2214" s="40" t="s">
        <v>9702</v>
      </c>
      <c r="F2214" s="38" t="s">
        <v>9188</v>
      </c>
      <c r="G2214" s="34" t="s">
        <v>9702</v>
      </c>
      <c r="H2214" s="34" t="s">
        <v>9702</v>
      </c>
      <c r="I2214" s="35" t="s">
        <v>13748</v>
      </c>
      <c r="J2214" s="36" t="s">
        <v>1682</v>
      </c>
    </row>
    <row r="2215" spans="1:10" x14ac:dyDescent="0.25">
      <c r="A2215" s="31" t="s">
        <v>1683</v>
      </c>
      <c r="B2215" s="31">
        <v>52.040100000000002</v>
      </c>
      <c r="C2215" s="32" t="s">
        <v>13749</v>
      </c>
      <c r="D2215" s="31" t="s">
        <v>13696</v>
      </c>
      <c r="E2215" s="40" t="s">
        <v>13750</v>
      </c>
      <c r="F2215" s="38" t="s">
        <v>9188</v>
      </c>
      <c r="G2215" s="34" t="s">
        <v>9702</v>
      </c>
      <c r="I2215" s="35" t="s">
        <v>13748</v>
      </c>
      <c r="J2215" s="36" t="s">
        <v>1683</v>
      </c>
    </row>
    <row r="2216" spans="1:10" x14ac:dyDescent="0.25">
      <c r="A2216" s="31" t="s">
        <v>1684</v>
      </c>
      <c r="B2216" s="31">
        <v>52.040199999999999</v>
      </c>
      <c r="C2216" s="32" t="s">
        <v>13751</v>
      </c>
      <c r="D2216" s="31" t="s">
        <v>13696</v>
      </c>
      <c r="E2216" s="40" t="s">
        <v>13752</v>
      </c>
      <c r="F2216" s="38" t="s">
        <v>9188</v>
      </c>
      <c r="G2216" s="34" t="s">
        <v>9702</v>
      </c>
      <c r="I2216" s="35" t="s">
        <v>13748</v>
      </c>
      <c r="J2216" s="36" t="s">
        <v>1684</v>
      </c>
    </row>
    <row r="2217" spans="1:10" x14ac:dyDescent="0.25">
      <c r="A2217" s="31" t="s">
        <v>1685</v>
      </c>
      <c r="B2217" s="31">
        <v>52.040599999999998</v>
      </c>
      <c r="C2217" s="32" t="s">
        <v>13753</v>
      </c>
      <c r="D2217" s="31" t="s">
        <v>13696</v>
      </c>
      <c r="E2217" s="40" t="s">
        <v>13754</v>
      </c>
      <c r="F2217" s="38" t="s">
        <v>9188</v>
      </c>
      <c r="G2217" s="34" t="s">
        <v>9702</v>
      </c>
      <c r="I2217" s="35" t="s">
        <v>13748</v>
      </c>
      <c r="J2217" s="36" t="s">
        <v>1685</v>
      </c>
    </row>
    <row r="2218" spans="1:10" x14ac:dyDescent="0.25">
      <c r="A2218" s="31" t="s">
        <v>1686</v>
      </c>
      <c r="B2218" s="31">
        <v>52.040700000000001</v>
      </c>
      <c r="C2218" s="32" t="s">
        <v>13755</v>
      </c>
      <c r="D2218" s="31" t="s">
        <v>13696</v>
      </c>
      <c r="E2218" s="40" t="s">
        <v>13756</v>
      </c>
      <c r="F2218" s="38" t="s">
        <v>9188</v>
      </c>
      <c r="G2218" s="34" t="s">
        <v>9702</v>
      </c>
      <c r="I2218" s="35" t="s">
        <v>13748</v>
      </c>
      <c r="J2218" s="36" t="s">
        <v>1686</v>
      </c>
    </row>
    <row r="2219" spans="1:10" x14ac:dyDescent="0.25">
      <c r="A2219" s="31" t="s">
        <v>1687</v>
      </c>
      <c r="B2219" s="31">
        <v>52.040799999999997</v>
      </c>
      <c r="C2219" s="32" t="s">
        <v>13757</v>
      </c>
      <c r="D2219" s="31" t="s">
        <v>13696</v>
      </c>
      <c r="E2219" s="40" t="s">
        <v>13758</v>
      </c>
      <c r="F2219" s="38" t="s">
        <v>9188</v>
      </c>
      <c r="G2219" s="34" t="s">
        <v>9702</v>
      </c>
      <c r="I2219" s="35" t="s">
        <v>13748</v>
      </c>
      <c r="J2219" s="36" t="s">
        <v>1687</v>
      </c>
    </row>
    <row r="2220" spans="1:10" x14ac:dyDescent="0.25">
      <c r="A2220" s="31" t="s">
        <v>1688</v>
      </c>
      <c r="B2220" s="31">
        <v>52.040900000000001</v>
      </c>
      <c r="C2220" s="32" t="s">
        <v>13759</v>
      </c>
      <c r="D2220" s="31" t="s">
        <v>13696</v>
      </c>
      <c r="E2220" s="40" t="s">
        <v>13760</v>
      </c>
      <c r="F2220" s="38" t="s">
        <v>9188</v>
      </c>
      <c r="G2220" s="34" t="s">
        <v>9702</v>
      </c>
      <c r="I2220" s="35" t="s">
        <v>13748</v>
      </c>
      <c r="J2220" s="36" t="s">
        <v>1688</v>
      </c>
    </row>
    <row r="2221" spans="1:10" x14ac:dyDescent="0.25">
      <c r="A2221" s="31" t="s">
        <v>1689</v>
      </c>
      <c r="B2221" s="31">
        <v>52.040999999999997</v>
      </c>
      <c r="C2221" s="32" t="s">
        <v>13761</v>
      </c>
      <c r="D2221" s="31" t="s">
        <v>13696</v>
      </c>
      <c r="E2221" s="40" t="s">
        <v>13762</v>
      </c>
      <c r="F2221" s="38" t="s">
        <v>9188</v>
      </c>
      <c r="G2221" s="34" t="s">
        <v>9702</v>
      </c>
      <c r="I2221" s="35" t="s">
        <v>13748</v>
      </c>
      <c r="J2221" s="36" t="s">
        <v>1689</v>
      </c>
    </row>
    <row r="2222" spans="1:10" x14ac:dyDescent="0.25">
      <c r="A2222" s="31" t="s">
        <v>1690</v>
      </c>
      <c r="B2222" s="31">
        <v>52.0411</v>
      </c>
      <c r="C2222" s="32" t="s">
        <v>13763</v>
      </c>
      <c r="D2222" s="31" t="s">
        <v>13696</v>
      </c>
      <c r="E2222" s="40" t="s">
        <v>13764</v>
      </c>
      <c r="F2222" s="38" t="s">
        <v>9188</v>
      </c>
      <c r="G2222" s="34" t="s">
        <v>9702</v>
      </c>
      <c r="I2222" s="35" t="s">
        <v>13748</v>
      </c>
      <c r="J2222" s="36" t="s">
        <v>1690</v>
      </c>
    </row>
    <row r="2223" spans="1:10" x14ac:dyDescent="0.25">
      <c r="A2223" s="31" t="s">
        <v>1691</v>
      </c>
      <c r="B2223" s="31">
        <v>52.049900000000001</v>
      </c>
      <c r="C2223" s="32" t="s">
        <v>13765</v>
      </c>
      <c r="D2223" s="31" t="s">
        <v>13696</v>
      </c>
      <c r="E2223" s="40" t="s">
        <v>13766</v>
      </c>
      <c r="F2223" s="38" t="s">
        <v>9188</v>
      </c>
      <c r="G2223" s="34" t="s">
        <v>9702</v>
      </c>
      <c r="I2223" s="35" t="s">
        <v>13748</v>
      </c>
      <c r="J2223" s="36" t="s">
        <v>1691</v>
      </c>
    </row>
    <row r="2224" spans="1:10" x14ac:dyDescent="0.25">
      <c r="A2224" s="31" t="s">
        <v>1692</v>
      </c>
      <c r="B2224" s="31">
        <v>52.05</v>
      </c>
      <c r="C2224" s="32" t="s">
        <v>13767</v>
      </c>
      <c r="D2224" s="31" t="s">
        <v>13696</v>
      </c>
      <c r="E2224" s="40" t="s">
        <v>9703</v>
      </c>
      <c r="F2224" s="38" t="s">
        <v>9188</v>
      </c>
      <c r="G2224" s="34" t="s">
        <v>9703</v>
      </c>
      <c r="H2224" s="34" t="s">
        <v>9703</v>
      </c>
      <c r="I2224" s="35" t="s">
        <v>13767</v>
      </c>
      <c r="J2224" s="36" t="s">
        <v>1692</v>
      </c>
    </row>
    <row r="2225" spans="1:10" x14ac:dyDescent="0.25">
      <c r="A2225" s="31" t="s">
        <v>2155</v>
      </c>
      <c r="B2225" s="31">
        <v>52.0501</v>
      </c>
      <c r="C2225" s="32" t="s">
        <v>13768</v>
      </c>
      <c r="D2225" s="31" t="s">
        <v>13696</v>
      </c>
      <c r="E2225" s="40" t="s">
        <v>13769</v>
      </c>
      <c r="F2225" s="38" t="s">
        <v>9188</v>
      </c>
      <c r="G2225" s="34" t="s">
        <v>9703</v>
      </c>
      <c r="I2225" s="35" t="s">
        <v>13767</v>
      </c>
      <c r="J2225" s="36" t="s">
        <v>2155</v>
      </c>
    </row>
    <row r="2226" spans="1:10" x14ac:dyDescent="0.25">
      <c r="A2226" s="31" t="s">
        <v>2156</v>
      </c>
      <c r="B2226" s="31">
        <v>52.050199999999997</v>
      </c>
      <c r="C2226" s="32" t="s">
        <v>13770</v>
      </c>
      <c r="D2226" s="31" t="s">
        <v>13696</v>
      </c>
      <c r="E2226" s="40" t="s">
        <v>13771</v>
      </c>
      <c r="F2226" s="38" t="s">
        <v>9188</v>
      </c>
      <c r="G2226" s="34" t="s">
        <v>9703</v>
      </c>
      <c r="I2226" s="35" t="s">
        <v>13767</v>
      </c>
      <c r="J2226" s="36" t="s">
        <v>2156</v>
      </c>
    </row>
    <row r="2227" spans="1:10" x14ac:dyDescent="0.25">
      <c r="A2227" s="31" t="s">
        <v>2157</v>
      </c>
      <c r="B2227" s="31">
        <v>52.059899999999999</v>
      </c>
      <c r="C2227" s="32" t="s">
        <v>13772</v>
      </c>
      <c r="D2227" s="31" t="s">
        <v>13696</v>
      </c>
      <c r="E2227" s="40" t="s">
        <v>13773</v>
      </c>
      <c r="F2227" s="38" t="s">
        <v>9188</v>
      </c>
      <c r="G2227" s="34" t="s">
        <v>9703</v>
      </c>
      <c r="I2227" s="35" t="s">
        <v>13767</v>
      </c>
      <c r="J2227" s="36" t="s">
        <v>2157</v>
      </c>
    </row>
    <row r="2228" spans="1:10" x14ac:dyDescent="0.25">
      <c r="A2228" s="31" t="s">
        <v>1693</v>
      </c>
      <c r="B2228" s="31">
        <v>52.06</v>
      </c>
      <c r="C2228" s="32" t="s">
        <v>13774</v>
      </c>
      <c r="D2228" s="31" t="s">
        <v>13696</v>
      </c>
      <c r="E2228" s="40" t="s">
        <v>9704</v>
      </c>
      <c r="F2228" s="38" t="s">
        <v>9188</v>
      </c>
      <c r="G2228" s="34" t="s">
        <v>9704</v>
      </c>
      <c r="H2228" s="34" t="s">
        <v>9704</v>
      </c>
      <c r="I2228" s="35" t="s">
        <v>13774</v>
      </c>
      <c r="J2228" s="36" t="s">
        <v>1693</v>
      </c>
    </row>
    <row r="2229" spans="1:10" x14ac:dyDescent="0.25">
      <c r="A2229" s="31" t="s">
        <v>1693</v>
      </c>
      <c r="B2229" s="31">
        <v>52.060099999999998</v>
      </c>
      <c r="C2229" s="32" t="s">
        <v>13775</v>
      </c>
      <c r="D2229" s="31" t="s">
        <v>13696</v>
      </c>
      <c r="E2229" s="40" t="s">
        <v>13776</v>
      </c>
      <c r="F2229" s="38" t="s">
        <v>9188</v>
      </c>
      <c r="G2229" s="34" t="s">
        <v>9704</v>
      </c>
      <c r="I2229" s="35" t="s">
        <v>13774</v>
      </c>
      <c r="J2229" s="36" t="s">
        <v>1693</v>
      </c>
    </row>
    <row r="2230" spans="1:10" x14ac:dyDescent="0.25">
      <c r="A2230" s="31" t="s">
        <v>1694</v>
      </c>
      <c r="B2230" s="31">
        <v>52.07</v>
      </c>
      <c r="C2230" s="32" t="s">
        <v>13777</v>
      </c>
      <c r="D2230" s="31" t="s">
        <v>13696</v>
      </c>
      <c r="E2230" s="40" t="s">
        <v>9705</v>
      </c>
      <c r="F2230" s="38" t="s">
        <v>9188</v>
      </c>
      <c r="G2230" s="34" t="s">
        <v>9705</v>
      </c>
      <c r="H2230" s="34" t="s">
        <v>9705</v>
      </c>
      <c r="I2230" s="44" t="s">
        <v>13777</v>
      </c>
      <c r="J2230" s="36" t="s">
        <v>1694</v>
      </c>
    </row>
    <row r="2231" spans="1:10" x14ac:dyDescent="0.25">
      <c r="A2231" s="31" t="s">
        <v>1695</v>
      </c>
      <c r="B2231" s="31">
        <v>52.070099999999996</v>
      </c>
      <c r="C2231" s="32" t="s">
        <v>13778</v>
      </c>
      <c r="D2231" s="31" t="s">
        <v>13696</v>
      </c>
      <c r="E2231" s="40" t="s">
        <v>13779</v>
      </c>
      <c r="F2231" s="38" t="s">
        <v>9188</v>
      </c>
      <c r="G2231" s="34" t="s">
        <v>9705</v>
      </c>
      <c r="I2231" s="44" t="s">
        <v>13777</v>
      </c>
      <c r="J2231" s="36" t="s">
        <v>1695</v>
      </c>
    </row>
    <row r="2232" spans="1:10" x14ac:dyDescent="0.25">
      <c r="A2232" s="31" t="s">
        <v>1696</v>
      </c>
      <c r="B2232" s="31">
        <v>52.0702</v>
      </c>
      <c r="C2232" s="32" t="s">
        <v>13780</v>
      </c>
      <c r="D2232" s="31" t="s">
        <v>13696</v>
      </c>
      <c r="E2232" s="40" t="s">
        <v>13781</v>
      </c>
      <c r="F2232" s="38" t="s">
        <v>9188</v>
      </c>
      <c r="G2232" s="34" t="s">
        <v>9705</v>
      </c>
      <c r="I2232" s="44" t="s">
        <v>13777</v>
      </c>
      <c r="J2232" s="36" t="s">
        <v>1696</v>
      </c>
    </row>
    <row r="2233" spans="1:10" x14ac:dyDescent="0.25">
      <c r="A2233" s="31" t="s">
        <v>1697</v>
      </c>
      <c r="B2233" s="31">
        <v>52.070300000000003</v>
      </c>
      <c r="C2233" s="32" t="s">
        <v>13782</v>
      </c>
      <c r="D2233" s="31" t="s">
        <v>13696</v>
      </c>
      <c r="E2233" s="40" t="s">
        <v>13783</v>
      </c>
      <c r="F2233" s="38" t="s">
        <v>9188</v>
      </c>
      <c r="G2233" s="34" t="s">
        <v>9705</v>
      </c>
      <c r="I2233" s="44" t="s">
        <v>13777</v>
      </c>
      <c r="J2233" s="36" t="s">
        <v>1697</v>
      </c>
    </row>
    <row r="2234" spans="1:10" x14ac:dyDescent="0.25">
      <c r="A2234" s="31" t="s">
        <v>2158</v>
      </c>
      <c r="B2234" s="31">
        <v>52.070399999999999</v>
      </c>
      <c r="C2234" s="32" t="s">
        <v>13784</v>
      </c>
      <c r="D2234" s="31" t="s">
        <v>13696</v>
      </c>
      <c r="E2234" s="40" t="s">
        <v>13785</v>
      </c>
      <c r="F2234" s="38" t="s">
        <v>9188</v>
      </c>
      <c r="G2234" s="34" t="s">
        <v>9705</v>
      </c>
      <c r="I2234" s="44" t="s">
        <v>13777</v>
      </c>
      <c r="J2234" s="36" t="s">
        <v>2158</v>
      </c>
    </row>
    <row r="2235" spans="1:10" x14ac:dyDescent="0.25">
      <c r="A2235" s="31" t="s">
        <v>1698</v>
      </c>
      <c r="B2235" s="31">
        <v>52.079900000000002</v>
      </c>
      <c r="C2235" s="32" t="s">
        <v>13786</v>
      </c>
      <c r="D2235" s="31" t="s">
        <v>13696</v>
      </c>
      <c r="E2235" s="40" t="s">
        <v>13787</v>
      </c>
      <c r="F2235" s="38" t="s">
        <v>9188</v>
      </c>
      <c r="G2235" s="34" t="s">
        <v>9705</v>
      </c>
      <c r="I2235" s="44" t="s">
        <v>13777</v>
      </c>
      <c r="J2235" s="36" t="s">
        <v>1698</v>
      </c>
    </row>
    <row r="2236" spans="1:10" x14ac:dyDescent="0.25">
      <c r="A2236" s="31" t="s">
        <v>1699</v>
      </c>
      <c r="B2236" s="31">
        <v>52.08</v>
      </c>
      <c r="C2236" s="32" t="s">
        <v>13788</v>
      </c>
      <c r="D2236" s="31" t="s">
        <v>13696</v>
      </c>
      <c r="E2236" s="40" t="s">
        <v>9706</v>
      </c>
      <c r="F2236" s="38" t="s">
        <v>9188</v>
      </c>
      <c r="G2236" s="34" t="s">
        <v>9706</v>
      </c>
      <c r="H2236" s="34" t="s">
        <v>9706</v>
      </c>
      <c r="I2236" s="44" t="s">
        <v>13788</v>
      </c>
      <c r="J2236" s="36" t="s">
        <v>1699</v>
      </c>
    </row>
    <row r="2237" spans="1:10" x14ac:dyDescent="0.25">
      <c r="A2237" s="31" t="s">
        <v>1700</v>
      </c>
      <c r="B2237" s="31">
        <v>52.080100000000002</v>
      </c>
      <c r="C2237" s="32" t="s">
        <v>13789</v>
      </c>
      <c r="D2237" s="31" t="s">
        <v>13696</v>
      </c>
      <c r="E2237" s="40" t="s">
        <v>13790</v>
      </c>
      <c r="F2237" s="38" t="s">
        <v>9188</v>
      </c>
      <c r="G2237" s="34" t="s">
        <v>9706</v>
      </c>
      <c r="I2237" s="44" t="s">
        <v>13788</v>
      </c>
      <c r="J2237" s="36" t="s">
        <v>1700</v>
      </c>
    </row>
    <row r="2238" spans="1:10" x14ac:dyDescent="0.25">
      <c r="A2238" s="31" t="s">
        <v>1701</v>
      </c>
      <c r="B2238" s="31">
        <v>52.080300000000001</v>
      </c>
      <c r="C2238" s="32" t="s">
        <v>13791</v>
      </c>
      <c r="D2238" s="31" t="s">
        <v>13696</v>
      </c>
      <c r="E2238" s="40" t="s">
        <v>13792</v>
      </c>
      <c r="F2238" s="38" t="s">
        <v>9188</v>
      </c>
      <c r="G2238" s="34" t="s">
        <v>9706</v>
      </c>
      <c r="I2238" s="44" t="s">
        <v>13788</v>
      </c>
      <c r="J2238" s="36" t="s">
        <v>1701</v>
      </c>
    </row>
    <row r="2239" spans="1:10" x14ac:dyDescent="0.25">
      <c r="A2239" s="31" t="s">
        <v>1702</v>
      </c>
      <c r="B2239" s="31">
        <v>52.080399999999997</v>
      </c>
      <c r="C2239" s="32" t="s">
        <v>13793</v>
      </c>
      <c r="D2239" s="31" t="s">
        <v>13696</v>
      </c>
      <c r="E2239" s="40" t="s">
        <v>13794</v>
      </c>
      <c r="F2239" s="38" t="s">
        <v>9188</v>
      </c>
      <c r="G2239" s="34" t="s">
        <v>9706</v>
      </c>
      <c r="I2239" s="44" t="s">
        <v>13788</v>
      </c>
      <c r="J2239" s="36" t="s">
        <v>1702</v>
      </c>
    </row>
    <row r="2240" spans="1:10" x14ac:dyDescent="0.25">
      <c r="A2240" s="31" t="s">
        <v>1703</v>
      </c>
      <c r="B2240" s="31">
        <v>52.080599999999997</v>
      </c>
      <c r="C2240" s="32" t="s">
        <v>13795</v>
      </c>
      <c r="D2240" s="31" t="s">
        <v>13696</v>
      </c>
      <c r="E2240" s="40" t="s">
        <v>13796</v>
      </c>
      <c r="F2240" s="38" t="s">
        <v>9188</v>
      </c>
      <c r="G2240" s="34" t="s">
        <v>9706</v>
      </c>
      <c r="I2240" s="44" t="s">
        <v>13788</v>
      </c>
      <c r="J2240" s="36" t="s">
        <v>1703</v>
      </c>
    </row>
    <row r="2241" spans="1:10" x14ac:dyDescent="0.25">
      <c r="A2241" s="31" t="s">
        <v>1704</v>
      </c>
      <c r="B2241" s="31">
        <v>52.0807</v>
      </c>
      <c r="C2241" s="32" t="s">
        <v>13797</v>
      </c>
      <c r="D2241" s="31" t="s">
        <v>13696</v>
      </c>
      <c r="E2241" s="40" t="s">
        <v>13798</v>
      </c>
      <c r="F2241" s="38" t="s">
        <v>9188</v>
      </c>
      <c r="G2241" s="34" t="s">
        <v>9706</v>
      </c>
      <c r="I2241" s="44" t="s">
        <v>13788</v>
      </c>
      <c r="J2241" s="36" t="s">
        <v>1704</v>
      </c>
    </row>
    <row r="2242" spans="1:10" x14ac:dyDescent="0.25">
      <c r="A2242" s="31" t="s">
        <v>1705</v>
      </c>
      <c r="B2242" s="31">
        <v>52.080800000000004</v>
      </c>
      <c r="C2242" s="32" t="s">
        <v>13799</v>
      </c>
      <c r="D2242" s="31" t="s">
        <v>13696</v>
      </c>
      <c r="E2242" s="40" t="s">
        <v>13800</v>
      </c>
      <c r="F2242" s="38" t="s">
        <v>9188</v>
      </c>
      <c r="G2242" s="34" t="s">
        <v>9706</v>
      </c>
      <c r="I2242" s="44" t="s">
        <v>13788</v>
      </c>
      <c r="J2242" s="36" t="s">
        <v>1705</v>
      </c>
    </row>
    <row r="2243" spans="1:10" x14ac:dyDescent="0.25">
      <c r="A2243" s="31" t="s">
        <v>1706</v>
      </c>
      <c r="B2243" s="31">
        <v>52.0809</v>
      </c>
      <c r="C2243" s="32" t="s">
        <v>13801</v>
      </c>
      <c r="D2243" s="31" t="s">
        <v>13696</v>
      </c>
      <c r="E2243" s="40" t="s">
        <v>13802</v>
      </c>
      <c r="F2243" s="38" t="s">
        <v>9188</v>
      </c>
      <c r="G2243" s="34" t="s">
        <v>9706</v>
      </c>
      <c r="I2243" s="44" t="s">
        <v>13788</v>
      </c>
      <c r="J2243" s="36" t="s">
        <v>1706</v>
      </c>
    </row>
    <row r="2244" spans="1:10" x14ac:dyDescent="0.25">
      <c r="A2244" s="31" t="s">
        <v>2159</v>
      </c>
      <c r="B2244" s="31">
        <v>52.081000000000003</v>
      </c>
      <c r="C2244" s="32" t="s">
        <v>13803</v>
      </c>
      <c r="D2244" s="31" t="s">
        <v>13696</v>
      </c>
      <c r="E2244" s="40" t="s">
        <v>13804</v>
      </c>
      <c r="F2244" s="38" t="s">
        <v>9188</v>
      </c>
      <c r="G2244" s="34" t="s">
        <v>9706</v>
      </c>
      <c r="I2244" s="44" t="s">
        <v>13788</v>
      </c>
      <c r="J2244" s="36" t="s">
        <v>2159</v>
      </c>
    </row>
    <row r="2245" spans="1:10" x14ac:dyDescent="0.25">
      <c r="A2245" s="31" t="s">
        <v>1707</v>
      </c>
      <c r="B2245" s="31">
        <v>52.0899</v>
      </c>
      <c r="C2245" s="32" t="s">
        <v>13805</v>
      </c>
      <c r="D2245" s="31" t="s">
        <v>13696</v>
      </c>
      <c r="E2245" s="40" t="s">
        <v>13806</v>
      </c>
      <c r="F2245" s="38" t="s">
        <v>9188</v>
      </c>
      <c r="G2245" s="34" t="s">
        <v>9706</v>
      </c>
      <c r="I2245" s="44" t="s">
        <v>13788</v>
      </c>
      <c r="J2245" s="36" t="s">
        <v>1707</v>
      </c>
    </row>
    <row r="2246" spans="1:10" x14ac:dyDescent="0.25">
      <c r="A2246" s="31" t="s">
        <v>1708</v>
      </c>
      <c r="B2246" s="31">
        <v>52.09</v>
      </c>
      <c r="C2246" s="32" t="s">
        <v>13807</v>
      </c>
      <c r="D2246" s="31" t="s">
        <v>13696</v>
      </c>
      <c r="E2246" s="40" t="s">
        <v>9707</v>
      </c>
      <c r="F2246" s="38" t="s">
        <v>9188</v>
      </c>
      <c r="G2246" s="34" t="s">
        <v>9707</v>
      </c>
      <c r="H2246" s="34" t="s">
        <v>9707</v>
      </c>
      <c r="I2246" s="44" t="s">
        <v>13807</v>
      </c>
      <c r="J2246" s="36" t="s">
        <v>1708</v>
      </c>
    </row>
    <row r="2247" spans="1:10" x14ac:dyDescent="0.25">
      <c r="A2247" s="31" t="s">
        <v>1709</v>
      </c>
      <c r="B2247" s="31">
        <v>52.0901</v>
      </c>
      <c r="C2247" s="32" t="s">
        <v>13808</v>
      </c>
      <c r="D2247" s="31" t="s">
        <v>13696</v>
      </c>
      <c r="E2247" s="40" t="s">
        <v>13809</v>
      </c>
      <c r="F2247" s="38" t="s">
        <v>9188</v>
      </c>
      <c r="G2247" s="34" t="s">
        <v>9707</v>
      </c>
      <c r="I2247" s="44" t="s">
        <v>13807</v>
      </c>
      <c r="J2247" s="36" t="s">
        <v>1709</v>
      </c>
    </row>
    <row r="2248" spans="1:10" x14ac:dyDescent="0.25">
      <c r="A2248" s="31" t="s">
        <v>1710</v>
      </c>
      <c r="B2248" s="31">
        <v>52.090299999999999</v>
      </c>
      <c r="C2248" s="32" t="s">
        <v>13810</v>
      </c>
      <c r="D2248" s="31" t="s">
        <v>13696</v>
      </c>
      <c r="E2248" s="40" t="s">
        <v>13811</v>
      </c>
      <c r="F2248" s="38" t="s">
        <v>9188</v>
      </c>
      <c r="G2248" s="34" t="s">
        <v>9707</v>
      </c>
      <c r="I2248" s="44" t="s">
        <v>13807</v>
      </c>
      <c r="J2248" s="36" t="s">
        <v>1710</v>
      </c>
    </row>
    <row r="2249" spans="1:10" x14ac:dyDescent="0.25">
      <c r="A2249" s="31" t="s">
        <v>1711</v>
      </c>
      <c r="B2249" s="31">
        <v>52.090400000000002</v>
      </c>
      <c r="C2249" s="32" t="s">
        <v>13812</v>
      </c>
      <c r="D2249" s="31" t="s">
        <v>13696</v>
      </c>
      <c r="E2249" s="40" t="s">
        <v>13813</v>
      </c>
      <c r="F2249" s="38" t="s">
        <v>9188</v>
      </c>
      <c r="G2249" s="34" t="s">
        <v>9707</v>
      </c>
      <c r="I2249" s="44" t="s">
        <v>13807</v>
      </c>
      <c r="J2249" s="36" t="s">
        <v>1711</v>
      </c>
    </row>
    <row r="2250" spans="1:10" x14ac:dyDescent="0.25">
      <c r="A2250" s="31" t="s">
        <v>1712</v>
      </c>
      <c r="B2250" s="31">
        <v>52.090499999999999</v>
      </c>
      <c r="C2250" s="32" t="s">
        <v>13814</v>
      </c>
      <c r="D2250" s="31" t="s">
        <v>13696</v>
      </c>
      <c r="E2250" s="40" t="s">
        <v>13815</v>
      </c>
      <c r="F2250" s="38" t="s">
        <v>9188</v>
      </c>
      <c r="G2250" s="34" t="s">
        <v>9707</v>
      </c>
      <c r="I2250" s="44" t="s">
        <v>13807</v>
      </c>
      <c r="J2250" s="36" t="s">
        <v>1712</v>
      </c>
    </row>
    <row r="2251" spans="1:10" x14ac:dyDescent="0.25">
      <c r="A2251" s="31" t="s">
        <v>1713</v>
      </c>
      <c r="B2251" s="31">
        <v>52.090600000000002</v>
      </c>
      <c r="C2251" s="32" t="s">
        <v>13816</v>
      </c>
      <c r="D2251" s="31" t="s">
        <v>13696</v>
      </c>
      <c r="E2251" s="40" t="s">
        <v>13817</v>
      </c>
      <c r="F2251" s="38" t="s">
        <v>9188</v>
      </c>
      <c r="G2251" s="34" t="s">
        <v>9707</v>
      </c>
      <c r="I2251" s="44" t="s">
        <v>13807</v>
      </c>
      <c r="J2251" s="36" t="s">
        <v>1713</v>
      </c>
    </row>
    <row r="2252" spans="1:10" x14ac:dyDescent="0.25">
      <c r="A2252" s="31" t="s">
        <v>1714</v>
      </c>
      <c r="B2252" s="31">
        <v>52.090699999999998</v>
      </c>
      <c r="C2252" s="32" t="s">
        <v>13818</v>
      </c>
      <c r="D2252" s="31" t="s">
        <v>13696</v>
      </c>
      <c r="E2252" s="40" t="s">
        <v>13819</v>
      </c>
      <c r="F2252" s="38" t="s">
        <v>9188</v>
      </c>
      <c r="G2252" s="34" t="s">
        <v>9707</v>
      </c>
      <c r="I2252" s="44" t="s">
        <v>13807</v>
      </c>
      <c r="J2252" s="36" t="s">
        <v>1714</v>
      </c>
    </row>
    <row r="2253" spans="1:10" x14ac:dyDescent="0.25">
      <c r="A2253" s="31" t="s">
        <v>1715</v>
      </c>
      <c r="B2253" s="31">
        <v>52.090800000000002</v>
      </c>
      <c r="C2253" s="32" t="s">
        <v>13820</v>
      </c>
      <c r="D2253" s="31" t="s">
        <v>13696</v>
      </c>
      <c r="E2253" s="40" t="s">
        <v>13821</v>
      </c>
      <c r="F2253" s="38" t="s">
        <v>9188</v>
      </c>
      <c r="G2253" s="34" t="s">
        <v>9707</v>
      </c>
      <c r="I2253" s="44" t="s">
        <v>13807</v>
      </c>
      <c r="J2253" s="36" t="s">
        <v>1715</v>
      </c>
    </row>
    <row r="2254" spans="1:10" x14ac:dyDescent="0.25">
      <c r="A2254" s="31" t="s">
        <v>1716</v>
      </c>
      <c r="B2254" s="31">
        <v>52.090899999999998</v>
      </c>
      <c r="C2254" s="32" t="s">
        <v>13822</v>
      </c>
      <c r="D2254" s="31" t="s">
        <v>13696</v>
      </c>
      <c r="E2254" s="40" t="s">
        <v>13823</v>
      </c>
      <c r="F2254" s="38" t="s">
        <v>9188</v>
      </c>
      <c r="G2254" s="34" t="s">
        <v>9707</v>
      </c>
      <c r="I2254" s="44" t="s">
        <v>13807</v>
      </c>
      <c r="J2254" s="36" t="s">
        <v>1716</v>
      </c>
    </row>
    <row r="2255" spans="1:10" x14ac:dyDescent="0.25">
      <c r="A2255" s="31" t="s">
        <v>2160</v>
      </c>
      <c r="B2255" s="31">
        <v>52.091000000000001</v>
      </c>
      <c r="C2255" s="32" t="s">
        <v>13824</v>
      </c>
      <c r="D2255" s="31" t="s">
        <v>13696</v>
      </c>
      <c r="E2255" s="40" t="s">
        <v>13825</v>
      </c>
      <c r="F2255" s="38" t="s">
        <v>9188</v>
      </c>
      <c r="G2255" s="34" t="s">
        <v>9707</v>
      </c>
      <c r="I2255" s="44" t="s">
        <v>13807</v>
      </c>
      <c r="J2255" s="36" t="s">
        <v>2160</v>
      </c>
    </row>
    <row r="2256" spans="1:10" x14ac:dyDescent="0.25">
      <c r="A2256" s="31" t="s">
        <v>1717</v>
      </c>
      <c r="B2256" s="31">
        <v>52.099899999999998</v>
      </c>
      <c r="C2256" s="32" t="s">
        <v>13826</v>
      </c>
      <c r="D2256" s="31" t="s">
        <v>13696</v>
      </c>
      <c r="E2256" s="40" t="s">
        <v>13827</v>
      </c>
      <c r="F2256" s="38" t="s">
        <v>9188</v>
      </c>
      <c r="G2256" s="34" t="s">
        <v>9707</v>
      </c>
      <c r="I2256" s="44" t="s">
        <v>13807</v>
      </c>
      <c r="J2256" s="36" t="s">
        <v>1717</v>
      </c>
    </row>
    <row r="2257" spans="1:10" x14ac:dyDescent="0.25">
      <c r="A2257" s="31" t="s">
        <v>1718</v>
      </c>
      <c r="B2257" s="31">
        <v>52.1</v>
      </c>
      <c r="C2257" s="32" t="s">
        <v>13828</v>
      </c>
      <c r="D2257" s="31" t="s">
        <v>13696</v>
      </c>
      <c r="E2257" s="40" t="s">
        <v>9708</v>
      </c>
      <c r="F2257" s="38" t="s">
        <v>9188</v>
      </c>
      <c r="G2257" s="34" t="s">
        <v>9708</v>
      </c>
      <c r="H2257" s="34" t="s">
        <v>9708</v>
      </c>
      <c r="I2257" s="44" t="s">
        <v>13828</v>
      </c>
      <c r="J2257" s="36" t="s">
        <v>1718</v>
      </c>
    </row>
    <row r="2258" spans="1:10" x14ac:dyDescent="0.25">
      <c r="A2258" s="31" t="s">
        <v>1719</v>
      </c>
      <c r="B2258" s="31">
        <v>52.100099999999998</v>
      </c>
      <c r="C2258" s="32" t="s">
        <v>13829</v>
      </c>
      <c r="D2258" s="31" t="s">
        <v>13696</v>
      </c>
      <c r="E2258" s="40" t="s">
        <v>13830</v>
      </c>
      <c r="F2258" s="38" t="s">
        <v>9188</v>
      </c>
      <c r="G2258" s="34" t="s">
        <v>9708</v>
      </c>
      <c r="I2258" s="44" t="s">
        <v>13828</v>
      </c>
      <c r="J2258" s="36" t="s">
        <v>1719</v>
      </c>
    </row>
    <row r="2259" spans="1:10" x14ac:dyDescent="0.25">
      <c r="A2259" s="31" t="s">
        <v>1720</v>
      </c>
      <c r="B2259" s="31">
        <v>52.100200000000001</v>
      </c>
      <c r="C2259" s="32" t="s">
        <v>13831</v>
      </c>
      <c r="D2259" s="31" t="s">
        <v>13696</v>
      </c>
      <c r="E2259" s="40" t="s">
        <v>13832</v>
      </c>
      <c r="F2259" s="38" t="s">
        <v>9188</v>
      </c>
      <c r="G2259" s="34" t="s">
        <v>9708</v>
      </c>
      <c r="I2259" s="44" t="s">
        <v>13828</v>
      </c>
      <c r="J2259" s="36" t="s">
        <v>1720</v>
      </c>
    </row>
    <row r="2260" spans="1:10" x14ac:dyDescent="0.25">
      <c r="A2260" s="31" t="s">
        <v>1721</v>
      </c>
      <c r="B2260" s="31">
        <v>52.100299999999997</v>
      </c>
      <c r="C2260" s="32" t="s">
        <v>13833</v>
      </c>
      <c r="D2260" s="31" t="s">
        <v>13696</v>
      </c>
      <c r="E2260" s="40" t="s">
        <v>13834</v>
      </c>
      <c r="F2260" s="38" t="s">
        <v>9188</v>
      </c>
      <c r="G2260" s="34" t="s">
        <v>9708</v>
      </c>
      <c r="I2260" s="44" t="s">
        <v>13828</v>
      </c>
      <c r="J2260" s="36" t="s">
        <v>1721</v>
      </c>
    </row>
    <row r="2261" spans="1:10" x14ac:dyDescent="0.25">
      <c r="A2261" s="31" t="s">
        <v>1722</v>
      </c>
      <c r="B2261" s="31">
        <v>52.1004</v>
      </c>
      <c r="C2261" s="32" t="s">
        <v>13835</v>
      </c>
      <c r="D2261" s="31" t="s">
        <v>13696</v>
      </c>
      <c r="E2261" s="40" t="s">
        <v>13836</v>
      </c>
      <c r="F2261" s="38" t="s">
        <v>9188</v>
      </c>
      <c r="G2261" s="34" t="s">
        <v>9708</v>
      </c>
      <c r="I2261" s="44" t="s">
        <v>13828</v>
      </c>
      <c r="J2261" s="36" t="s">
        <v>1722</v>
      </c>
    </row>
    <row r="2262" spans="1:10" x14ac:dyDescent="0.25">
      <c r="A2262" s="31" t="s">
        <v>1723</v>
      </c>
      <c r="B2262" s="31">
        <v>52.100499999999997</v>
      </c>
      <c r="C2262" s="32" t="s">
        <v>13837</v>
      </c>
      <c r="D2262" s="31" t="s">
        <v>13696</v>
      </c>
      <c r="E2262" s="40" t="s">
        <v>13838</v>
      </c>
      <c r="F2262" s="38" t="s">
        <v>9188</v>
      </c>
      <c r="G2262" s="34" t="s">
        <v>9708</v>
      </c>
      <c r="I2262" s="44" t="s">
        <v>13828</v>
      </c>
      <c r="J2262" s="36" t="s">
        <v>1723</v>
      </c>
    </row>
    <row r="2263" spans="1:10" x14ac:dyDescent="0.25">
      <c r="A2263" s="31" t="s">
        <v>2161</v>
      </c>
      <c r="B2263" s="31">
        <v>52.1006</v>
      </c>
      <c r="C2263" s="32" t="s">
        <v>13839</v>
      </c>
      <c r="D2263" s="31" t="s">
        <v>13696</v>
      </c>
      <c r="E2263" s="40" t="s">
        <v>13840</v>
      </c>
      <c r="F2263" s="38" t="s">
        <v>9188</v>
      </c>
      <c r="G2263" s="34" t="s">
        <v>9708</v>
      </c>
      <c r="I2263" s="44" t="s">
        <v>13828</v>
      </c>
      <c r="J2263" s="36" t="s">
        <v>2161</v>
      </c>
    </row>
    <row r="2264" spans="1:10" x14ac:dyDescent="0.25">
      <c r="A2264" s="31" t="s">
        <v>1724</v>
      </c>
      <c r="B2264" s="31">
        <v>52.109900000000003</v>
      </c>
      <c r="C2264" s="32" t="s">
        <v>13841</v>
      </c>
      <c r="D2264" s="31" t="s">
        <v>13696</v>
      </c>
      <c r="E2264" s="40" t="s">
        <v>13842</v>
      </c>
      <c r="F2264" s="38" t="s">
        <v>9188</v>
      </c>
      <c r="G2264" s="34" t="s">
        <v>9708</v>
      </c>
      <c r="I2264" s="44" t="s">
        <v>13828</v>
      </c>
      <c r="J2264" s="36" t="s">
        <v>1724</v>
      </c>
    </row>
    <row r="2265" spans="1:10" x14ac:dyDescent="0.25">
      <c r="A2265" s="31" t="s">
        <v>1725</v>
      </c>
      <c r="B2265" s="31">
        <v>52.11</v>
      </c>
      <c r="C2265" s="32" t="s">
        <v>13843</v>
      </c>
      <c r="D2265" s="31" t="s">
        <v>13696</v>
      </c>
      <c r="E2265" s="40" t="s">
        <v>9709</v>
      </c>
      <c r="F2265" s="38" t="s">
        <v>9188</v>
      </c>
      <c r="G2265" s="34" t="s">
        <v>9709</v>
      </c>
      <c r="H2265" s="34" t="s">
        <v>9709</v>
      </c>
      <c r="I2265" s="44" t="s">
        <v>13843</v>
      </c>
      <c r="J2265" s="36" t="s">
        <v>1725</v>
      </c>
    </row>
    <row r="2266" spans="1:10" x14ac:dyDescent="0.25">
      <c r="A2266" s="31" t="s">
        <v>2162</v>
      </c>
      <c r="B2266" s="31">
        <v>52.110100000000003</v>
      </c>
      <c r="C2266" s="32" t="s">
        <v>13844</v>
      </c>
      <c r="D2266" s="31" t="s">
        <v>13696</v>
      </c>
      <c r="E2266" s="40" t="s">
        <v>13845</v>
      </c>
      <c r="F2266" s="38" t="s">
        <v>9188</v>
      </c>
      <c r="G2266" s="34" t="s">
        <v>9709</v>
      </c>
      <c r="I2266" s="44" t="s">
        <v>13843</v>
      </c>
      <c r="J2266" s="36" t="s">
        <v>2162</v>
      </c>
    </row>
    <row r="2267" spans="1:10" x14ac:dyDescent="0.25">
      <c r="A2267" s="31" t="s">
        <v>1726</v>
      </c>
      <c r="B2267" s="31">
        <v>52.12</v>
      </c>
      <c r="C2267" s="32" t="s">
        <v>13846</v>
      </c>
      <c r="D2267" s="31" t="s">
        <v>13696</v>
      </c>
      <c r="E2267" s="40" t="s">
        <v>9710</v>
      </c>
      <c r="F2267" s="38" t="s">
        <v>9188</v>
      </c>
      <c r="G2267" s="34" t="s">
        <v>9710</v>
      </c>
      <c r="H2267" s="34" t="s">
        <v>9710</v>
      </c>
      <c r="I2267" s="44" t="s">
        <v>13846</v>
      </c>
      <c r="J2267" s="36" t="s">
        <v>1726</v>
      </c>
    </row>
    <row r="2268" spans="1:10" x14ac:dyDescent="0.25">
      <c r="A2268" s="31" t="s">
        <v>1727</v>
      </c>
      <c r="B2268" s="31">
        <v>52.120100000000001</v>
      </c>
      <c r="C2268" s="32" t="s">
        <v>13847</v>
      </c>
      <c r="D2268" s="31" t="s">
        <v>13696</v>
      </c>
      <c r="E2268" s="40" t="s">
        <v>13848</v>
      </c>
      <c r="F2268" s="38" t="s">
        <v>9188</v>
      </c>
      <c r="G2268" s="34" t="s">
        <v>9710</v>
      </c>
      <c r="I2268" s="44" t="s">
        <v>13846</v>
      </c>
      <c r="J2268" s="36" t="s">
        <v>1727</v>
      </c>
    </row>
    <row r="2269" spans="1:10" x14ac:dyDescent="0.25">
      <c r="A2269" s="31" t="s">
        <v>1728</v>
      </c>
      <c r="B2269" s="31">
        <v>52.120600000000003</v>
      </c>
      <c r="C2269" s="32" t="s">
        <v>13849</v>
      </c>
      <c r="D2269" s="31" t="s">
        <v>13696</v>
      </c>
      <c r="E2269" s="40" t="s">
        <v>13850</v>
      </c>
      <c r="F2269" s="38" t="s">
        <v>9188</v>
      </c>
      <c r="G2269" s="34" t="s">
        <v>9710</v>
      </c>
      <c r="I2269" s="44" t="s">
        <v>13846</v>
      </c>
      <c r="J2269" s="36" t="s">
        <v>1728</v>
      </c>
    </row>
    <row r="2270" spans="1:10" x14ac:dyDescent="0.25">
      <c r="A2270" s="31" t="s">
        <v>1729</v>
      </c>
      <c r="B2270" s="31">
        <v>52.120699999999999</v>
      </c>
      <c r="C2270" s="32" t="s">
        <v>13851</v>
      </c>
      <c r="D2270" s="31" t="s">
        <v>13696</v>
      </c>
      <c r="E2270" s="40" t="s">
        <v>13852</v>
      </c>
      <c r="F2270" s="38" t="s">
        <v>9188</v>
      </c>
      <c r="G2270" s="34" t="s">
        <v>9710</v>
      </c>
      <c r="I2270" s="44" t="s">
        <v>13846</v>
      </c>
      <c r="J2270" s="36" t="s">
        <v>1729</v>
      </c>
    </row>
    <row r="2271" spans="1:10" x14ac:dyDescent="0.25">
      <c r="A2271" s="31" t="s">
        <v>1730</v>
      </c>
      <c r="B2271" s="31">
        <v>52.129899999999999</v>
      </c>
      <c r="C2271" s="32" t="s">
        <v>13853</v>
      </c>
      <c r="D2271" s="31" t="s">
        <v>13696</v>
      </c>
      <c r="E2271" s="40" t="s">
        <v>13854</v>
      </c>
      <c r="F2271" s="38" t="s">
        <v>9188</v>
      </c>
      <c r="G2271" s="34" t="s">
        <v>9710</v>
      </c>
      <c r="I2271" s="44" t="s">
        <v>13846</v>
      </c>
      <c r="J2271" s="36" t="s">
        <v>1730</v>
      </c>
    </row>
    <row r="2272" spans="1:10" x14ac:dyDescent="0.25">
      <c r="A2272" s="31" t="s">
        <v>1731</v>
      </c>
      <c r="B2272" s="31">
        <v>52.13</v>
      </c>
      <c r="C2272" s="32" t="s">
        <v>13855</v>
      </c>
      <c r="D2272" s="31" t="s">
        <v>13696</v>
      </c>
      <c r="E2272" s="40" t="s">
        <v>9711</v>
      </c>
      <c r="F2272" s="38" t="s">
        <v>9188</v>
      </c>
      <c r="G2272" s="34" t="s">
        <v>9711</v>
      </c>
      <c r="H2272" s="34" t="s">
        <v>9711</v>
      </c>
      <c r="I2272" s="44" t="s">
        <v>13855</v>
      </c>
      <c r="J2272" s="36" t="s">
        <v>1731</v>
      </c>
    </row>
    <row r="2273" spans="1:10" x14ac:dyDescent="0.25">
      <c r="A2273" s="31" t="s">
        <v>1732</v>
      </c>
      <c r="B2273" s="31">
        <v>52.130099999999999</v>
      </c>
      <c r="C2273" s="32" t="s">
        <v>13856</v>
      </c>
      <c r="D2273" s="31" t="s">
        <v>13696</v>
      </c>
      <c r="E2273" s="40" t="s">
        <v>13857</v>
      </c>
      <c r="F2273" s="38" t="s">
        <v>9188</v>
      </c>
      <c r="G2273" s="34" t="s">
        <v>9711</v>
      </c>
      <c r="I2273" s="44" t="s">
        <v>13855</v>
      </c>
      <c r="J2273" s="36" t="s">
        <v>1732</v>
      </c>
    </row>
    <row r="2274" spans="1:10" x14ac:dyDescent="0.25">
      <c r="A2274" s="31" t="s">
        <v>1733</v>
      </c>
      <c r="B2274" s="31">
        <v>52.130200000000002</v>
      </c>
      <c r="C2274" s="32" t="s">
        <v>13858</v>
      </c>
      <c r="D2274" s="31" t="s">
        <v>13696</v>
      </c>
      <c r="E2274" s="40" t="s">
        <v>13859</v>
      </c>
      <c r="F2274" s="38" t="s">
        <v>9188</v>
      </c>
      <c r="G2274" s="34" t="s">
        <v>9711</v>
      </c>
      <c r="I2274" s="44" t="s">
        <v>13855</v>
      </c>
      <c r="J2274" s="36" t="s">
        <v>1733</v>
      </c>
    </row>
    <row r="2275" spans="1:10" x14ac:dyDescent="0.25">
      <c r="A2275" s="31" t="s">
        <v>1734</v>
      </c>
      <c r="B2275" s="31">
        <v>52.130400000000002</v>
      </c>
      <c r="C2275" s="32" t="s">
        <v>13860</v>
      </c>
      <c r="D2275" s="31" t="s">
        <v>13696</v>
      </c>
      <c r="E2275" s="40" t="s">
        <v>13861</v>
      </c>
      <c r="F2275" s="38" t="s">
        <v>9188</v>
      </c>
      <c r="G2275" s="34" t="s">
        <v>9711</v>
      </c>
      <c r="I2275" s="44" t="s">
        <v>13855</v>
      </c>
      <c r="J2275" s="36" t="s">
        <v>1734</v>
      </c>
    </row>
    <row r="2276" spans="1:10" x14ac:dyDescent="0.25">
      <c r="A2276" s="31" t="s">
        <v>1735</v>
      </c>
      <c r="B2276" s="31">
        <v>52.139899999999997</v>
      </c>
      <c r="C2276" s="32" t="s">
        <v>13862</v>
      </c>
      <c r="D2276" s="31" t="s">
        <v>13696</v>
      </c>
      <c r="E2276" s="40" t="s">
        <v>13863</v>
      </c>
      <c r="F2276" s="38" t="s">
        <v>9188</v>
      </c>
      <c r="G2276" s="34" t="s">
        <v>9711</v>
      </c>
      <c r="I2276" s="44" t="s">
        <v>13855</v>
      </c>
      <c r="J2276" s="36" t="s">
        <v>1735</v>
      </c>
    </row>
    <row r="2277" spans="1:10" x14ac:dyDescent="0.25">
      <c r="A2277" s="31" t="s">
        <v>1736</v>
      </c>
      <c r="B2277" s="31">
        <v>52.14</v>
      </c>
      <c r="C2277" s="32" t="s">
        <v>13864</v>
      </c>
      <c r="D2277" s="31" t="s">
        <v>13696</v>
      </c>
      <c r="E2277" s="40" t="s">
        <v>9712</v>
      </c>
      <c r="F2277" s="38" t="s">
        <v>9188</v>
      </c>
      <c r="G2277" s="34" t="s">
        <v>9712</v>
      </c>
      <c r="H2277" s="34" t="s">
        <v>9712</v>
      </c>
      <c r="I2277" s="44" t="s">
        <v>13864</v>
      </c>
      <c r="J2277" s="36" t="s">
        <v>1736</v>
      </c>
    </row>
    <row r="2278" spans="1:10" x14ac:dyDescent="0.25">
      <c r="A2278" s="31" t="s">
        <v>1737</v>
      </c>
      <c r="B2278" s="31">
        <v>52.140099999999997</v>
      </c>
      <c r="C2278" s="32" t="s">
        <v>13865</v>
      </c>
      <c r="D2278" s="31" t="s">
        <v>13696</v>
      </c>
      <c r="E2278" s="40" t="s">
        <v>13866</v>
      </c>
      <c r="F2278" s="38" t="s">
        <v>9188</v>
      </c>
      <c r="G2278" s="34" t="s">
        <v>9712</v>
      </c>
      <c r="I2278" s="44" t="s">
        <v>13864</v>
      </c>
      <c r="J2278" s="36" t="s">
        <v>1737</v>
      </c>
    </row>
    <row r="2279" spans="1:10" x14ac:dyDescent="0.25">
      <c r="A2279" s="31" t="s">
        <v>1738</v>
      </c>
      <c r="B2279" s="31">
        <v>52.1402</v>
      </c>
      <c r="C2279" s="32" t="s">
        <v>13867</v>
      </c>
      <c r="D2279" s="31" t="s">
        <v>13696</v>
      </c>
      <c r="E2279" s="40" t="s">
        <v>13868</v>
      </c>
      <c r="F2279" s="38" t="s">
        <v>9188</v>
      </c>
      <c r="G2279" s="34" t="s">
        <v>9712</v>
      </c>
      <c r="I2279" s="44" t="s">
        <v>13864</v>
      </c>
      <c r="J2279" s="36" t="s">
        <v>1738</v>
      </c>
    </row>
    <row r="2280" spans="1:10" x14ac:dyDescent="0.25">
      <c r="A2280" s="31" t="s">
        <v>1739</v>
      </c>
      <c r="B2280" s="31">
        <v>52.140300000000003</v>
      </c>
      <c r="C2280" s="32" t="s">
        <v>13869</v>
      </c>
      <c r="D2280" s="31" t="s">
        <v>13696</v>
      </c>
      <c r="E2280" s="40" t="s">
        <v>13870</v>
      </c>
      <c r="F2280" s="38" t="s">
        <v>9188</v>
      </c>
      <c r="G2280" s="34" t="s">
        <v>9712</v>
      </c>
      <c r="I2280" s="44" t="s">
        <v>13864</v>
      </c>
      <c r="J2280" s="36" t="s">
        <v>1739</v>
      </c>
    </row>
    <row r="2281" spans="1:10" x14ac:dyDescent="0.25">
      <c r="A2281" s="31" t="s">
        <v>2163</v>
      </c>
      <c r="B2281" s="31">
        <v>52.1404</v>
      </c>
      <c r="C2281" s="32" t="s">
        <v>13871</v>
      </c>
      <c r="D2281" s="31" t="s">
        <v>13696</v>
      </c>
      <c r="E2281" s="40" t="s">
        <v>13872</v>
      </c>
      <c r="F2281" s="38" t="s">
        <v>9188</v>
      </c>
      <c r="G2281" s="34" t="s">
        <v>9712</v>
      </c>
      <c r="I2281" s="44" t="s">
        <v>13864</v>
      </c>
      <c r="J2281" s="36" t="s">
        <v>2163</v>
      </c>
    </row>
    <row r="2282" spans="1:10" x14ac:dyDescent="0.25">
      <c r="A2282" s="31" t="s">
        <v>1740</v>
      </c>
      <c r="B2282" s="31">
        <v>52.149900000000002</v>
      </c>
      <c r="C2282" s="32" t="s">
        <v>13873</v>
      </c>
      <c r="D2282" s="31" t="s">
        <v>13696</v>
      </c>
      <c r="E2282" s="40" t="s">
        <v>13874</v>
      </c>
      <c r="F2282" s="38" t="s">
        <v>9188</v>
      </c>
      <c r="G2282" s="34" t="s">
        <v>9712</v>
      </c>
      <c r="I2282" s="44" t="s">
        <v>13864</v>
      </c>
      <c r="J2282" s="36" t="s">
        <v>1740</v>
      </c>
    </row>
    <row r="2283" spans="1:10" x14ac:dyDescent="0.25">
      <c r="A2283" s="31" t="s">
        <v>1741</v>
      </c>
      <c r="B2283" s="31">
        <v>52.15</v>
      </c>
      <c r="C2283" s="32" t="s">
        <v>13875</v>
      </c>
      <c r="D2283" s="31" t="s">
        <v>13696</v>
      </c>
      <c r="E2283" s="40" t="s">
        <v>9713</v>
      </c>
      <c r="F2283" s="38" t="s">
        <v>9188</v>
      </c>
      <c r="G2283" s="34" t="s">
        <v>9713</v>
      </c>
      <c r="H2283" s="34" t="s">
        <v>9713</v>
      </c>
      <c r="I2283" s="44" t="s">
        <v>13875</v>
      </c>
      <c r="J2283" s="36" t="s">
        <v>1741</v>
      </c>
    </row>
    <row r="2284" spans="1:10" x14ac:dyDescent="0.25">
      <c r="A2284" s="31" t="s">
        <v>1741</v>
      </c>
      <c r="B2284" s="31">
        <v>52.150100000000002</v>
      </c>
      <c r="C2284" s="32" t="s">
        <v>13876</v>
      </c>
      <c r="D2284" s="31" t="s">
        <v>13696</v>
      </c>
      <c r="E2284" s="40" t="s">
        <v>13877</v>
      </c>
      <c r="F2284" s="38" t="s">
        <v>9188</v>
      </c>
      <c r="G2284" s="34" t="s">
        <v>9713</v>
      </c>
      <c r="I2284" s="44" t="s">
        <v>13875</v>
      </c>
      <c r="J2284" s="36" t="s">
        <v>1741</v>
      </c>
    </row>
    <row r="2285" spans="1:10" x14ac:dyDescent="0.25">
      <c r="A2285" s="31" t="s">
        <v>1742</v>
      </c>
      <c r="B2285" s="31">
        <v>52.16</v>
      </c>
      <c r="C2285" s="32" t="s">
        <v>13878</v>
      </c>
      <c r="D2285" s="31" t="s">
        <v>13696</v>
      </c>
      <c r="E2285" s="40" t="s">
        <v>9714</v>
      </c>
      <c r="F2285" s="38" t="s">
        <v>9188</v>
      </c>
      <c r="G2285" s="34" t="s">
        <v>9714</v>
      </c>
      <c r="H2285" s="34" t="s">
        <v>9714</v>
      </c>
      <c r="I2285" s="44" t="s">
        <v>13878</v>
      </c>
      <c r="J2285" s="36" t="s">
        <v>1742</v>
      </c>
    </row>
    <row r="2286" spans="1:10" x14ac:dyDescent="0.25">
      <c r="A2286" s="31" t="s">
        <v>1742</v>
      </c>
      <c r="B2286" s="31">
        <v>52.1601</v>
      </c>
      <c r="C2286" s="32" t="s">
        <v>13879</v>
      </c>
      <c r="D2286" s="31" t="s">
        <v>13696</v>
      </c>
      <c r="E2286" s="40" t="s">
        <v>13880</v>
      </c>
      <c r="F2286" s="38" t="s">
        <v>9188</v>
      </c>
      <c r="G2286" s="34" t="s">
        <v>9714</v>
      </c>
      <c r="I2286" s="44" t="s">
        <v>13878</v>
      </c>
      <c r="J2286" s="36" t="s">
        <v>1742</v>
      </c>
    </row>
    <row r="2287" spans="1:10" x14ac:dyDescent="0.25">
      <c r="A2287" s="31" t="s">
        <v>1743</v>
      </c>
      <c r="B2287" s="31">
        <v>52.17</v>
      </c>
      <c r="C2287" s="32" t="s">
        <v>13881</v>
      </c>
      <c r="D2287" s="31" t="s">
        <v>13696</v>
      </c>
      <c r="E2287" s="40" t="s">
        <v>9715</v>
      </c>
      <c r="F2287" s="38" t="s">
        <v>9188</v>
      </c>
      <c r="G2287" s="34" t="s">
        <v>9715</v>
      </c>
      <c r="H2287" s="34" t="s">
        <v>9715</v>
      </c>
      <c r="I2287" s="44" t="s">
        <v>13881</v>
      </c>
      <c r="J2287" s="36" t="s">
        <v>1743</v>
      </c>
    </row>
    <row r="2288" spans="1:10" x14ac:dyDescent="0.25">
      <c r="A2288" s="31" t="s">
        <v>1743</v>
      </c>
      <c r="B2288" s="31">
        <v>52.170099999999998</v>
      </c>
      <c r="C2288" s="32" t="s">
        <v>13882</v>
      </c>
      <c r="D2288" s="31" t="s">
        <v>13696</v>
      </c>
      <c r="E2288" s="40" t="s">
        <v>13883</v>
      </c>
      <c r="F2288" s="38" t="s">
        <v>9188</v>
      </c>
      <c r="G2288" s="34" t="s">
        <v>9715</v>
      </c>
      <c r="I2288" s="44" t="s">
        <v>13881</v>
      </c>
      <c r="J2288" s="36" t="s">
        <v>1743</v>
      </c>
    </row>
    <row r="2289" spans="1:10" x14ac:dyDescent="0.25">
      <c r="A2289" s="31" t="s">
        <v>1744</v>
      </c>
      <c r="B2289" s="31">
        <v>52.18</v>
      </c>
      <c r="C2289" s="32" t="s">
        <v>13884</v>
      </c>
      <c r="D2289" s="31" t="s">
        <v>13696</v>
      </c>
      <c r="E2289" s="40" t="s">
        <v>9716</v>
      </c>
      <c r="F2289" s="38" t="s">
        <v>9188</v>
      </c>
      <c r="G2289" s="34" t="s">
        <v>9716</v>
      </c>
      <c r="H2289" s="34" t="s">
        <v>9716</v>
      </c>
      <c r="I2289" s="35" t="s">
        <v>13884</v>
      </c>
      <c r="J2289" s="36" t="s">
        <v>1744</v>
      </c>
    </row>
    <row r="2290" spans="1:10" x14ac:dyDescent="0.25">
      <c r="A2290" s="31" t="s">
        <v>1745</v>
      </c>
      <c r="B2290" s="31">
        <v>52.180100000000003</v>
      </c>
      <c r="C2290" s="32" t="s">
        <v>13885</v>
      </c>
      <c r="D2290" s="31" t="s">
        <v>13696</v>
      </c>
      <c r="E2290" s="40" t="s">
        <v>13886</v>
      </c>
      <c r="F2290" s="38" t="s">
        <v>9188</v>
      </c>
      <c r="G2290" s="34" t="s">
        <v>9716</v>
      </c>
      <c r="I2290" s="35" t="s">
        <v>13884</v>
      </c>
      <c r="J2290" s="36" t="s">
        <v>1745</v>
      </c>
    </row>
    <row r="2291" spans="1:10" x14ac:dyDescent="0.25">
      <c r="A2291" s="31" t="s">
        <v>1746</v>
      </c>
      <c r="B2291" s="31">
        <v>52.180199999999999</v>
      </c>
      <c r="C2291" s="32" t="s">
        <v>13887</v>
      </c>
      <c r="D2291" s="31" t="s">
        <v>13696</v>
      </c>
      <c r="E2291" s="40" t="s">
        <v>13888</v>
      </c>
      <c r="F2291" s="38" t="s">
        <v>9188</v>
      </c>
      <c r="G2291" s="34" t="s">
        <v>9716</v>
      </c>
      <c r="I2291" s="35" t="s">
        <v>13884</v>
      </c>
      <c r="J2291" s="36" t="s">
        <v>1746</v>
      </c>
    </row>
    <row r="2292" spans="1:10" x14ac:dyDescent="0.25">
      <c r="A2292" s="31" t="s">
        <v>1747</v>
      </c>
      <c r="B2292" s="31">
        <v>52.180300000000003</v>
      </c>
      <c r="C2292" s="32" t="s">
        <v>13889</v>
      </c>
      <c r="D2292" s="31" t="s">
        <v>13696</v>
      </c>
      <c r="E2292" s="40" t="s">
        <v>13890</v>
      </c>
      <c r="F2292" s="38" t="s">
        <v>9188</v>
      </c>
      <c r="G2292" s="34" t="s">
        <v>9716</v>
      </c>
      <c r="I2292" s="35" t="s">
        <v>13884</v>
      </c>
      <c r="J2292" s="36" t="s">
        <v>1747</v>
      </c>
    </row>
    <row r="2293" spans="1:10" x14ac:dyDescent="0.25">
      <c r="A2293" s="31" t="s">
        <v>1748</v>
      </c>
      <c r="B2293" s="31">
        <v>52.180399999999999</v>
      </c>
      <c r="C2293" s="32" t="s">
        <v>13891</v>
      </c>
      <c r="D2293" s="31" t="s">
        <v>13696</v>
      </c>
      <c r="E2293" s="40" t="s">
        <v>13892</v>
      </c>
      <c r="F2293" s="38" t="s">
        <v>9188</v>
      </c>
      <c r="G2293" s="34" t="s">
        <v>9716</v>
      </c>
      <c r="I2293" s="35" t="s">
        <v>13884</v>
      </c>
      <c r="J2293" s="36" t="s">
        <v>1748</v>
      </c>
    </row>
    <row r="2294" spans="1:10" x14ac:dyDescent="0.25">
      <c r="A2294" s="31" t="s">
        <v>1793</v>
      </c>
      <c r="B2294" s="31">
        <v>52.188000000000002</v>
      </c>
      <c r="C2294" s="32" t="s">
        <v>13893</v>
      </c>
      <c r="D2294" s="31" t="s">
        <v>13696</v>
      </c>
      <c r="E2294" s="40" t="s">
        <v>13894</v>
      </c>
      <c r="F2294" s="38" t="s">
        <v>9188</v>
      </c>
      <c r="G2294" s="34" t="s">
        <v>9716</v>
      </c>
      <c r="I2294" s="35" t="s">
        <v>13884</v>
      </c>
      <c r="J2294" s="36" t="s">
        <v>1793</v>
      </c>
    </row>
    <row r="2295" spans="1:10" x14ac:dyDescent="0.25">
      <c r="A2295" s="31" t="s">
        <v>1749</v>
      </c>
      <c r="B2295" s="31">
        <v>52.189900000000002</v>
      </c>
      <c r="C2295" s="32" t="s">
        <v>13895</v>
      </c>
      <c r="D2295" s="31" t="s">
        <v>13696</v>
      </c>
      <c r="E2295" s="40" t="s">
        <v>13896</v>
      </c>
      <c r="F2295" s="38" t="s">
        <v>9188</v>
      </c>
      <c r="G2295" s="34" t="s">
        <v>9716</v>
      </c>
      <c r="I2295" s="35" t="s">
        <v>13884</v>
      </c>
      <c r="J2295" s="36" t="s">
        <v>1749</v>
      </c>
    </row>
    <row r="2296" spans="1:10" x14ac:dyDescent="0.25">
      <c r="A2296" s="31" t="s">
        <v>1750</v>
      </c>
      <c r="B2296" s="31">
        <v>52.19</v>
      </c>
      <c r="C2296" s="32" t="s">
        <v>13897</v>
      </c>
      <c r="D2296" s="31" t="s">
        <v>13696</v>
      </c>
      <c r="E2296" s="40" t="s">
        <v>9717</v>
      </c>
      <c r="F2296" s="38" t="s">
        <v>9188</v>
      </c>
      <c r="G2296" s="34" t="s">
        <v>9717</v>
      </c>
      <c r="H2296" s="34" t="s">
        <v>9717</v>
      </c>
      <c r="I2296" s="35" t="s">
        <v>13897</v>
      </c>
      <c r="J2296" s="36" t="s">
        <v>1750</v>
      </c>
    </row>
    <row r="2297" spans="1:10" x14ac:dyDescent="0.25">
      <c r="A2297" s="31" t="s">
        <v>1751</v>
      </c>
      <c r="B2297" s="31">
        <v>52.190100000000001</v>
      </c>
      <c r="C2297" s="32" t="s">
        <v>13898</v>
      </c>
      <c r="D2297" s="31" t="s">
        <v>13696</v>
      </c>
      <c r="E2297" s="40" t="s">
        <v>13899</v>
      </c>
      <c r="F2297" s="38" t="s">
        <v>9188</v>
      </c>
      <c r="G2297" s="34" t="s">
        <v>9717</v>
      </c>
      <c r="I2297" s="35" t="s">
        <v>13897</v>
      </c>
      <c r="J2297" s="36" t="s">
        <v>1751</v>
      </c>
    </row>
    <row r="2298" spans="1:10" x14ac:dyDescent="0.25">
      <c r="A2298" s="31" t="s">
        <v>1752</v>
      </c>
      <c r="B2298" s="31">
        <v>52.190199999999997</v>
      </c>
      <c r="C2298" s="32" t="s">
        <v>13900</v>
      </c>
      <c r="D2298" s="31" t="s">
        <v>13696</v>
      </c>
      <c r="E2298" s="40" t="s">
        <v>13901</v>
      </c>
      <c r="F2298" s="38" t="s">
        <v>9188</v>
      </c>
      <c r="G2298" s="34" t="s">
        <v>9717</v>
      </c>
      <c r="I2298" s="35" t="s">
        <v>13897</v>
      </c>
      <c r="J2298" s="36" t="s">
        <v>1752</v>
      </c>
    </row>
    <row r="2299" spans="1:10" x14ac:dyDescent="0.25">
      <c r="A2299" s="31" t="s">
        <v>1753</v>
      </c>
      <c r="B2299" s="31">
        <v>52.190300000000001</v>
      </c>
      <c r="C2299" s="32" t="s">
        <v>13902</v>
      </c>
      <c r="D2299" s="31" t="s">
        <v>13696</v>
      </c>
      <c r="E2299" s="40" t="s">
        <v>13903</v>
      </c>
      <c r="F2299" s="38" t="s">
        <v>9188</v>
      </c>
      <c r="G2299" s="34" t="s">
        <v>9717</v>
      </c>
      <c r="I2299" s="35" t="s">
        <v>13897</v>
      </c>
      <c r="J2299" s="36" t="s">
        <v>1753</v>
      </c>
    </row>
    <row r="2300" spans="1:10" x14ac:dyDescent="0.25">
      <c r="A2300" s="31" t="s">
        <v>1754</v>
      </c>
      <c r="B2300" s="31">
        <v>52.190399999999997</v>
      </c>
      <c r="C2300" s="32" t="s">
        <v>13904</v>
      </c>
      <c r="D2300" s="31" t="s">
        <v>13696</v>
      </c>
      <c r="E2300" s="40" t="s">
        <v>13905</v>
      </c>
      <c r="F2300" s="38" t="s">
        <v>9188</v>
      </c>
      <c r="G2300" s="34" t="s">
        <v>9717</v>
      </c>
      <c r="I2300" s="35" t="s">
        <v>13897</v>
      </c>
      <c r="J2300" s="36" t="s">
        <v>1754</v>
      </c>
    </row>
    <row r="2301" spans="1:10" x14ac:dyDescent="0.25">
      <c r="A2301" s="31" t="s">
        <v>1755</v>
      </c>
      <c r="B2301" s="31">
        <v>52.1905</v>
      </c>
      <c r="C2301" s="32" t="s">
        <v>13906</v>
      </c>
      <c r="D2301" s="31" t="s">
        <v>13696</v>
      </c>
      <c r="E2301" s="40" t="s">
        <v>13907</v>
      </c>
      <c r="F2301" s="38" t="s">
        <v>9188</v>
      </c>
      <c r="G2301" s="34" t="s">
        <v>9717</v>
      </c>
      <c r="I2301" s="35" t="s">
        <v>13897</v>
      </c>
      <c r="J2301" s="36" t="s">
        <v>1755</v>
      </c>
    </row>
    <row r="2302" spans="1:10" x14ac:dyDescent="0.25">
      <c r="A2302" s="31" t="s">
        <v>1756</v>
      </c>
      <c r="B2302" s="31">
        <v>52.190600000000003</v>
      </c>
      <c r="C2302" s="32" t="s">
        <v>13908</v>
      </c>
      <c r="D2302" s="31" t="s">
        <v>13696</v>
      </c>
      <c r="E2302" s="40" t="s">
        <v>13909</v>
      </c>
      <c r="F2302" s="38" t="s">
        <v>9188</v>
      </c>
      <c r="G2302" s="34" t="s">
        <v>9717</v>
      </c>
      <c r="I2302" s="35" t="s">
        <v>13897</v>
      </c>
      <c r="J2302" s="36" t="s">
        <v>1756</v>
      </c>
    </row>
    <row r="2303" spans="1:10" x14ac:dyDescent="0.25">
      <c r="A2303" s="31" t="s">
        <v>1757</v>
      </c>
      <c r="B2303" s="31">
        <v>52.1907</v>
      </c>
      <c r="C2303" s="32" t="s">
        <v>13910</v>
      </c>
      <c r="D2303" s="31" t="s">
        <v>13696</v>
      </c>
      <c r="E2303" s="40" t="s">
        <v>13911</v>
      </c>
      <c r="F2303" s="38" t="s">
        <v>9188</v>
      </c>
      <c r="G2303" s="34" t="s">
        <v>9717</v>
      </c>
      <c r="I2303" s="35" t="s">
        <v>13897</v>
      </c>
      <c r="J2303" s="36" t="s">
        <v>1757</v>
      </c>
    </row>
    <row r="2304" spans="1:10" x14ac:dyDescent="0.25">
      <c r="A2304" s="31" t="s">
        <v>1758</v>
      </c>
      <c r="B2304" s="31">
        <v>52.190800000000003</v>
      </c>
      <c r="C2304" s="32" t="s">
        <v>13912</v>
      </c>
      <c r="D2304" s="31" t="s">
        <v>13696</v>
      </c>
      <c r="E2304" s="40" t="s">
        <v>13913</v>
      </c>
      <c r="F2304" s="38" t="s">
        <v>9188</v>
      </c>
      <c r="G2304" s="34" t="s">
        <v>9717</v>
      </c>
      <c r="I2304" s="35" t="s">
        <v>13897</v>
      </c>
      <c r="J2304" s="36" t="s">
        <v>1758</v>
      </c>
    </row>
    <row r="2305" spans="1:10" x14ac:dyDescent="0.25">
      <c r="A2305" s="31" t="s">
        <v>1759</v>
      </c>
      <c r="B2305" s="31">
        <v>52.190899999999999</v>
      </c>
      <c r="C2305" s="32" t="s">
        <v>13914</v>
      </c>
      <c r="D2305" s="31" t="s">
        <v>13696</v>
      </c>
      <c r="E2305" s="40" t="s">
        <v>13915</v>
      </c>
      <c r="F2305" s="38" t="s">
        <v>9188</v>
      </c>
      <c r="G2305" s="34" t="s">
        <v>9717</v>
      </c>
      <c r="I2305" s="35" t="s">
        <v>13897</v>
      </c>
      <c r="J2305" s="36" t="s">
        <v>1759</v>
      </c>
    </row>
    <row r="2306" spans="1:10" x14ac:dyDescent="0.25">
      <c r="A2306" s="31" t="s">
        <v>1760</v>
      </c>
      <c r="B2306" s="31">
        <v>52.191000000000003</v>
      </c>
      <c r="C2306" s="32" t="s">
        <v>13916</v>
      </c>
      <c r="D2306" s="31" t="s">
        <v>13696</v>
      </c>
      <c r="E2306" s="40" t="s">
        <v>13917</v>
      </c>
      <c r="F2306" s="38" t="s">
        <v>9188</v>
      </c>
      <c r="G2306" s="34" t="s">
        <v>9717</v>
      </c>
      <c r="I2306" s="35" t="s">
        <v>13897</v>
      </c>
      <c r="J2306" s="36" t="s">
        <v>1760</v>
      </c>
    </row>
    <row r="2307" spans="1:10" x14ac:dyDescent="0.25">
      <c r="A2307" s="31" t="s">
        <v>1793</v>
      </c>
      <c r="B2307" s="31">
        <v>52.198</v>
      </c>
      <c r="C2307" s="32" t="s">
        <v>13918</v>
      </c>
      <c r="D2307" s="31" t="s">
        <v>13696</v>
      </c>
      <c r="E2307" s="40" t="s">
        <v>13919</v>
      </c>
      <c r="F2307" s="38" t="s">
        <v>9188</v>
      </c>
      <c r="G2307" s="34" t="s">
        <v>9717</v>
      </c>
      <c r="I2307" s="35" t="s">
        <v>13897</v>
      </c>
      <c r="J2307" s="36" t="s">
        <v>1793</v>
      </c>
    </row>
    <row r="2308" spans="1:10" x14ac:dyDescent="0.25">
      <c r="A2308" s="31" t="s">
        <v>1761</v>
      </c>
      <c r="B2308" s="31">
        <v>52.1999</v>
      </c>
      <c r="C2308" s="32" t="s">
        <v>13920</v>
      </c>
      <c r="D2308" s="31" t="s">
        <v>13696</v>
      </c>
      <c r="E2308" s="40" t="s">
        <v>13921</v>
      </c>
      <c r="F2308" s="38" t="s">
        <v>9188</v>
      </c>
      <c r="G2308" s="34" t="s">
        <v>9717</v>
      </c>
      <c r="I2308" s="35" t="s">
        <v>13897</v>
      </c>
      <c r="J2308" s="36" t="s">
        <v>1761</v>
      </c>
    </row>
    <row r="2309" spans="1:10" x14ac:dyDescent="0.25">
      <c r="A2309" s="31" t="s">
        <v>1762</v>
      </c>
      <c r="B2309" s="31">
        <v>52.2</v>
      </c>
      <c r="C2309" s="32" t="s">
        <v>13922</v>
      </c>
      <c r="D2309" s="31" t="s">
        <v>13696</v>
      </c>
      <c r="E2309" s="40" t="s">
        <v>9718</v>
      </c>
      <c r="F2309" s="38" t="s">
        <v>9188</v>
      </c>
      <c r="G2309" s="34" t="s">
        <v>9718</v>
      </c>
      <c r="H2309" s="34" t="s">
        <v>9718</v>
      </c>
      <c r="I2309" s="44" t="s">
        <v>13922</v>
      </c>
      <c r="J2309" s="36" t="s">
        <v>1762</v>
      </c>
    </row>
    <row r="2310" spans="1:10" x14ac:dyDescent="0.25">
      <c r="A2310" s="31" t="s">
        <v>2164</v>
      </c>
      <c r="B2310" s="31">
        <v>52.200099999999999</v>
      </c>
      <c r="C2310" s="32" t="s">
        <v>13923</v>
      </c>
      <c r="D2310" s="31" t="s">
        <v>13696</v>
      </c>
      <c r="E2310" s="40" t="s">
        <v>13924</v>
      </c>
      <c r="F2310" s="38" t="s">
        <v>9188</v>
      </c>
      <c r="G2310" s="34" t="s">
        <v>9718</v>
      </c>
      <c r="I2310" s="44" t="s">
        <v>13922</v>
      </c>
      <c r="J2310" s="36" t="s">
        <v>2164</v>
      </c>
    </row>
    <row r="2311" spans="1:10" x14ac:dyDescent="0.25">
      <c r="A2311" s="31" t="s">
        <v>2165</v>
      </c>
      <c r="B2311" s="31">
        <v>52.200200000000002</v>
      </c>
      <c r="C2311" s="32" t="s">
        <v>13925</v>
      </c>
      <c r="D2311" s="31" t="s">
        <v>13696</v>
      </c>
      <c r="E2311" s="40" t="s">
        <v>13926</v>
      </c>
      <c r="F2311" s="38" t="s">
        <v>9188</v>
      </c>
      <c r="G2311" s="34" t="s">
        <v>9718</v>
      </c>
      <c r="I2311" s="44" t="s">
        <v>13922</v>
      </c>
      <c r="J2311" s="36" t="s">
        <v>2165</v>
      </c>
    </row>
    <row r="2312" spans="1:10" x14ac:dyDescent="0.25">
      <c r="A2312" s="31" t="s">
        <v>2166</v>
      </c>
      <c r="B2312" s="31">
        <v>52.209899999999998</v>
      </c>
      <c r="C2312" s="32" t="s">
        <v>13927</v>
      </c>
      <c r="D2312" s="31" t="s">
        <v>13696</v>
      </c>
      <c r="E2312" s="40" t="s">
        <v>13928</v>
      </c>
      <c r="F2312" s="38" t="s">
        <v>9188</v>
      </c>
      <c r="G2312" s="34" t="s">
        <v>9718</v>
      </c>
      <c r="I2312" s="44" t="s">
        <v>13922</v>
      </c>
      <c r="J2312" s="36" t="s">
        <v>2166</v>
      </c>
    </row>
    <row r="2313" spans="1:10" x14ac:dyDescent="0.25">
      <c r="A2313" s="31" t="s">
        <v>1763</v>
      </c>
      <c r="B2313" s="31">
        <v>52.21</v>
      </c>
      <c r="C2313" s="32" t="s">
        <v>13929</v>
      </c>
      <c r="D2313" s="31" t="s">
        <v>13696</v>
      </c>
      <c r="E2313" s="40" t="s">
        <v>9719</v>
      </c>
      <c r="F2313" s="38" t="s">
        <v>9188</v>
      </c>
      <c r="G2313" s="34" t="s">
        <v>9719</v>
      </c>
      <c r="H2313" s="34" t="s">
        <v>9719</v>
      </c>
      <c r="I2313" s="35" t="s">
        <v>13929</v>
      </c>
      <c r="J2313" s="36" t="s">
        <v>1763</v>
      </c>
    </row>
    <row r="2314" spans="1:10" x14ac:dyDescent="0.25">
      <c r="A2314" s="31" t="s">
        <v>1763</v>
      </c>
      <c r="B2314" s="31">
        <v>52.210099999999997</v>
      </c>
      <c r="C2314" s="32" t="s">
        <v>13930</v>
      </c>
      <c r="D2314" s="31" t="s">
        <v>13696</v>
      </c>
      <c r="E2314" s="40" t="s">
        <v>13931</v>
      </c>
      <c r="F2314" s="38" t="s">
        <v>9188</v>
      </c>
      <c r="G2314" s="34" t="s">
        <v>9719</v>
      </c>
      <c r="I2314" s="35" t="s">
        <v>13929</v>
      </c>
      <c r="J2314" s="36" t="s">
        <v>1763</v>
      </c>
    </row>
    <row r="2315" spans="1:10" x14ac:dyDescent="0.25">
      <c r="A2315" s="31" t="s">
        <v>1764</v>
      </c>
      <c r="B2315" s="31">
        <v>52.99</v>
      </c>
      <c r="C2315" s="32" t="s">
        <v>13932</v>
      </c>
      <c r="D2315" s="31" t="s">
        <v>13696</v>
      </c>
      <c r="E2315" s="40" t="s">
        <v>9720</v>
      </c>
      <c r="F2315" s="38" t="s">
        <v>9188</v>
      </c>
      <c r="G2315" s="34" t="s">
        <v>9720</v>
      </c>
      <c r="H2315" s="34" t="s">
        <v>9720</v>
      </c>
      <c r="I2315" s="44" t="s">
        <v>13932</v>
      </c>
      <c r="J2315" s="36" t="s">
        <v>1764</v>
      </c>
    </row>
    <row r="2316" spans="1:10" x14ac:dyDescent="0.25">
      <c r="A2316" s="31" t="s">
        <v>1764</v>
      </c>
      <c r="B2316" s="31">
        <v>52.999899999999997</v>
      </c>
      <c r="C2316" s="32" t="s">
        <v>13933</v>
      </c>
      <c r="D2316" s="31" t="s">
        <v>13696</v>
      </c>
      <c r="E2316" s="40" t="s">
        <v>13934</v>
      </c>
      <c r="F2316" s="38" t="s">
        <v>9188</v>
      </c>
      <c r="G2316" s="34" t="s">
        <v>9720</v>
      </c>
      <c r="I2316" s="44" t="s">
        <v>13932</v>
      </c>
      <c r="J2316" s="36" t="s">
        <v>1764</v>
      </c>
    </row>
    <row r="2317" spans="1:10" x14ac:dyDescent="0.25">
      <c r="A2317" s="31" t="s">
        <v>2167</v>
      </c>
      <c r="B2317" s="31">
        <v>53</v>
      </c>
      <c r="C2317" s="32" t="s">
        <v>13935</v>
      </c>
      <c r="D2317" s="31" t="s">
        <v>13935</v>
      </c>
      <c r="E2317" s="40" t="s">
        <v>9722</v>
      </c>
      <c r="F2317" s="31" t="s">
        <v>9721</v>
      </c>
      <c r="G2317" s="34" t="s">
        <v>9722</v>
      </c>
      <c r="H2317" s="34" t="s">
        <v>9722</v>
      </c>
      <c r="I2317" s="35" t="s">
        <v>13935</v>
      </c>
      <c r="J2317" s="36" t="s">
        <v>2167</v>
      </c>
    </row>
    <row r="2318" spans="1:10" x14ac:dyDescent="0.25">
      <c r="A2318" s="31" t="s">
        <v>2168</v>
      </c>
      <c r="B2318" s="31">
        <v>53.01</v>
      </c>
      <c r="C2318" s="32" t="s">
        <v>13936</v>
      </c>
      <c r="D2318" s="31" t="s">
        <v>13935</v>
      </c>
      <c r="E2318" s="40" t="s">
        <v>9723</v>
      </c>
      <c r="F2318" s="31" t="s">
        <v>9721</v>
      </c>
      <c r="G2318" s="34" t="s">
        <v>9723</v>
      </c>
      <c r="H2318" s="34" t="s">
        <v>9723</v>
      </c>
      <c r="I2318" s="35" t="s">
        <v>13936</v>
      </c>
      <c r="J2318" s="36" t="s">
        <v>2168</v>
      </c>
    </row>
    <row r="2319" spans="1:10" x14ac:dyDescent="0.25">
      <c r="A2319" s="31" t="s">
        <v>2169</v>
      </c>
      <c r="B2319" s="31">
        <v>53.010100000000001</v>
      </c>
      <c r="C2319" s="32" t="s">
        <v>13937</v>
      </c>
      <c r="D2319" s="31" t="s">
        <v>13935</v>
      </c>
      <c r="E2319" s="40" t="s">
        <v>13938</v>
      </c>
      <c r="F2319" s="31" t="s">
        <v>9721</v>
      </c>
      <c r="G2319" s="34" t="s">
        <v>9723</v>
      </c>
      <c r="I2319" s="35" t="s">
        <v>13936</v>
      </c>
      <c r="J2319" s="36" t="s">
        <v>2169</v>
      </c>
    </row>
    <row r="2320" spans="1:10" x14ac:dyDescent="0.25">
      <c r="A2320" s="31" t="s">
        <v>2170</v>
      </c>
      <c r="B2320" s="31">
        <v>53.010199999999998</v>
      </c>
      <c r="C2320" s="32" t="s">
        <v>13939</v>
      </c>
      <c r="D2320" s="31" t="s">
        <v>13935</v>
      </c>
      <c r="E2320" s="40" t="s">
        <v>13940</v>
      </c>
      <c r="F2320" s="31" t="s">
        <v>9721</v>
      </c>
      <c r="G2320" s="34" t="s">
        <v>9723</v>
      </c>
      <c r="I2320" s="35" t="s">
        <v>13936</v>
      </c>
      <c r="J2320" s="36" t="s">
        <v>2170</v>
      </c>
    </row>
    <row r="2321" spans="1:10" x14ac:dyDescent="0.25">
      <c r="A2321" s="31" t="s">
        <v>2171</v>
      </c>
      <c r="B2321" s="31">
        <v>53.010300000000001</v>
      </c>
      <c r="C2321" s="32" t="s">
        <v>13941</v>
      </c>
      <c r="D2321" s="31" t="s">
        <v>13935</v>
      </c>
      <c r="E2321" s="40" t="s">
        <v>13942</v>
      </c>
      <c r="F2321" s="31" t="s">
        <v>9721</v>
      </c>
      <c r="G2321" s="34" t="s">
        <v>9723</v>
      </c>
      <c r="I2321" s="35" t="s">
        <v>13936</v>
      </c>
      <c r="J2321" s="36" t="s">
        <v>2171</v>
      </c>
    </row>
    <row r="2322" spans="1:10" x14ac:dyDescent="0.25">
      <c r="A2322" s="31" t="s">
        <v>2172</v>
      </c>
      <c r="B2322" s="31">
        <v>53.010399999999997</v>
      </c>
      <c r="C2322" s="32" t="s">
        <v>13943</v>
      </c>
      <c r="D2322" s="31" t="s">
        <v>13935</v>
      </c>
      <c r="E2322" s="40" t="s">
        <v>13944</v>
      </c>
      <c r="F2322" s="31" t="s">
        <v>9721</v>
      </c>
      <c r="G2322" s="34" t="s">
        <v>9723</v>
      </c>
      <c r="I2322" s="35" t="s">
        <v>13936</v>
      </c>
      <c r="J2322" s="36" t="s">
        <v>2172</v>
      </c>
    </row>
    <row r="2323" spans="1:10" x14ac:dyDescent="0.25">
      <c r="A2323" s="31" t="s">
        <v>2173</v>
      </c>
      <c r="B2323" s="31">
        <v>53.0105</v>
      </c>
      <c r="C2323" s="32" t="s">
        <v>13945</v>
      </c>
      <c r="D2323" s="31" t="s">
        <v>13935</v>
      </c>
      <c r="E2323" s="40" t="s">
        <v>13946</v>
      </c>
      <c r="F2323" s="31" t="s">
        <v>9721</v>
      </c>
      <c r="G2323" s="34" t="s">
        <v>9723</v>
      </c>
      <c r="I2323" s="35" t="s">
        <v>13936</v>
      </c>
      <c r="J2323" s="36" t="s">
        <v>2173</v>
      </c>
    </row>
    <row r="2324" spans="1:10" x14ac:dyDescent="0.25">
      <c r="A2324" s="31" t="s">
        <v>2174</v>
      </c>
      <c r="B2324" s="31">
        <v>53.0199</v>
      </c>
      <c r="C2324" s="32" t="s">
        <v>13947</v>
      </c>
      <c r="D2324" s="31" t="s">
        <v>13935</v>
      </c>
      <c r="E2324" s="40" t="s">
        <v>13948</v>
      </c>
      <c r="F2324" s="31" t="s">
        <v>9721</v>
      </c>
      <c r="G2324" s="34" t="s">
        <v>9723</v>
      </c>
      <c r="I2324" s="35" t="s">
        <v>13936</v>
      </c>
      <c r="J2324" s="36" t="s">
        <v>2174</v>
      </c>
    </row>
    <row r="2325" spans="1:10" x14ac:dyDescent="0.25">
      <c r="A2325" s="31" t="s">
        <v>2175</v>
      </c>
      <c r="B2325" s="31">
        <v>53.02</v>
      </c>
      <c r="C2325" s="32" t="s">
        <v>13949</v>
      </c>
      <c r="D2325" s="31" t="s">
        <v>13935</v>
      </c>
      <c r="E2325" s="40" t="s">
        <v>9724</v>
      </c>
      <c r="F2325" s="31" t="s">
        <v>9721</v>
      </c>
      <c r="G2325" s="34" t="s">
        <v>9724</v>
      </c>
      <c r="H2325" s="34" t="s">
        <v>9724</v>
      </c>
      <c r="I2325" s="35" t="s">
        <v>13949</v>
      </c>
      <c r="J2325" s="36" t="s">
        <v>2175</v>
      </c>
    </row>
    <row r="2326" spans="1:10" x14ac:dyDescent="0.25">
      <c r="A2326" s="31" t="s">
        <v>2176</v>
      </c>
      <c r="B2326" s="31">
        <v>53.020099999999999</v>
      </c>
      <c r="C2326" s="32" t="s">
        <v>13950</v>
      </c>
      <c r="D2326" s="31" t="s">
        <v>13935</v>
      </c>
      <c r="E2326" s="40" t="s">
        <v>13951</v>
      </c>
      <c r="F2326" s="31" t="s">
        <v>9721</v>
      </c>
      <c r="G2326" s="34" t="s">
        <v>9724</v>
      </c>
      <c r="I2326" s="35" t="s">
        <v>13949</v>
      </c>
      <c r="J2326" s="36" t="s">
        <v>2176</v>
      </c>
    </row>
    <row r="2327" spans="1:10" x14ac:dyDescent="0.25">
      <c r="A2327" s="31" t="s">
        <v>2177</v>
      </c>
      <c r="B2327" s="31">
        <v>53.020200000000003</v>
      </c>
      <c r="C2327" s="32" t="s">
        <v>13952</v>
      </c>
      <c r="D2327" s="31" t="s">
        <v>13935</v>
      </c>
      <c r="E2327" s="40" t="s">
        <v>13953</v>
      </c>
      <c r="F2327" s="31" t="s">
        <v>9721</v>
      </c>
      <c r="G2327" s="34" t="s">
        <v>9724</v>
      </c>
      <c r="I2327" s="35" t="s">
        <v>13949</v>
      </c>
      <c r="J2327" s="36" t="s">
        <v>2177</v>
      </c>
    </row>
    <row r="2328" spans="1:10" x14ac:dyDescent="0.25">
      <c r="A2328" s="31" t="s">
        <v>2178</v>
      </c>
      <c r="B2328" s="31">
        <v>53.020299999999999</v>
      </c>
      <c r="C2328" s="32" t="s">
        <v>13954</v>
      </c>
      <c r="D2328" s="31" t="s">
        <v>13935</v>
      </c>
      <c r="E2328" s="40" t="s">
        <v>13955</v>
      </c>
      <c r="F2328" s="31" t="s">
        <v>9721</v>
      </c>
      <c r="G2328" s="34" t="s">
        <v>9724</v>
      </c>
      <c r="I2328" s="35" t="s">
        <v>13949</v>
      </c>
      <c r="J2328" s="36" t="s">
        <v>2178</v>
      </c>
    </row>
    <row r="2329" spans="1:10" x14ac:dyDescent="0.25">
      <c r="A2329" s="31" t="s">
        <v>2179</v>
      </c>
      <c r="B2329" s="31">
        <v>53.029899999999998</v>
      </c>
      <c r="C2329" s="32" t="s">
        <v>13956</v>
      </c>
      <c r="D2329" s="31" t="s">
        <v>13935</v>
      </c>
      <c r="E2329" s="40" t="s">
        <v>13957</v>
      </c>
      <c r="F2329" s="31" t="s">
        <v>9721</v>
      </c>
      <c r="G2329" s="34" t="s">
        <v>9724</v>
      </c>
      <c r="I2329" s="35" t="s">
        <v>13949</v>
      </c>
      <c r="J2329" s="36" t="s">
        <v>2179</v>
      </c>
    </row>
    <row r="2330" spans="1:10" x14ac:dyDescent="0.25">
      <c r="A2330" s="31" t="s">
        <v>1765</v>
      </c>
      <c r="B2330" s="31">
        <v>54</v>
      </c>
      <c r="C2330" s="32" t="s">
        <v>13958</v>
      </c>
      <c r="D2330" s="31" t="s">
        <v>13958</v>
      </c>
      <c r="E2330" s="40" t="s">
        <v>9725</v>
      </c>
      <c r="F2330" s="38" t="s">
        <v>9210</v>
      </c>
      <c r="G2330" s="34" t="s">
        <v>9725</v>
      </c>
      <c r="H2330" s="34" t="s">
        <v>9725</v>
      </c>
      <c r="I2330" s="45" t="s">
        <v>13958</v>
      </c>
      <c r="J2330" s="36" t="s">
        <v>1765</v>
      </c>
    </row>
    <row r="2331" spans="1:10" x14ac:dyDescent="0.25">
      <c r="A2331" s="31" t="s">
        <v>1766</v>
      </c>
      <c r="B2331" s="31">
        <v>54.01</v>
      </c>
      <c r="C2331" s="32" t="s">
        <v>13959</v>
      </c>
      <c r="D2331" s="31" t="s">
        <v>13958</v>
      </c>
      <c r="E2331" s="40" t="s">
        <v>9726</v>
      </c>
      <c r="F2331" s="38" t="s">
        <v>9210</v>
      </c>
      <c r="G2331" s="34" t="s">
        <v>9726</v>
      </c>
      <c r="H2331" s="34" t="s">
        <v>9726</v>
      </c>
      <c r="I2331" s="35" t="s">
        <v>13959</v>
      </c>
      <c r="J2331" s="36" t="s">
        <v>1766</v>
      </c>
    </row>
    <row r="2332" spans="1:10" x14ac:dyDescent="0.25">
      <c r="A2332" s="31" t="s">
        <v>1767</v>
      </c>
      <c r="B2332" s="31">
        <v>54.010100000000001</v>
      </c>
      <c r="C2332" s="32" t="s">
        <v>13960</v>
      </c>
      <c r="D2332" s="31" t="s">
        <v>13958</v>
      </c>
      <c r="E2332" s="40" t="s">
        <v>13961</v>
      </c>
      <c r="F2332" s="38" t="s">
        <v>9210</v>
      </c>
      <c r="G2332" s="34" t="s">
        <v>9726</v>
      </c>
      <c r="I2332" s="35" t="s">
        <v>13959</v>
      </c>
      <c r="J2332" s="36" t="s">
        <v>1767</v>
      </c>
    </row>
    <row r="2333" spans="1:10" x14ac:dyDescent="0.25">
      <c r="A2333" s="31" t="s">
        <v>1768</v>
      </c>
      <c r="B2333" s="31">
        <v>54.010199999999998</v>
      </c>
      <c r="C2333" s="32" t="s">
        <v>13962</v>
      </c>
      <c r="D2333" s="31" t="s">
        <v>13958</v>
      </c>
      <c r="E2333" s="40" t="s">
        <v>13963</v>
      </c>
      <c r="F2333" s="38" t="s">
        <v>9210</v>
      </c>
      <c r="G2333" s="34" t="s">
        <v>9726</v>
      </c>
      <c r="I2333" s="35" t="s">
        <v>13959</v>
      </c>
      <c r="J2333" s="36" t="s">
        <v>1768</v>
      </c>
    </row>
    <row r="2334" spans="1:10" x14ac:dyDescent="0.25">
      <c r="A2334" s="31" t="s">
        <v>1769</v>
      </c>
      <c r="B2334" s="31">
        <v>54.010300000000001</v>
      </c>
      <c r="C2334" s="32" t="s">
        <v>13964</v>
      </c>
      <c r="D2334" s="31" t="s">
        <v>13958</v>
      </c>
      <c r="E2334" s="40" t="s">
        <v>13965</v>
      </c>
      <c r="F2334" s="38" t="s">
        <v>9210</v>
      </c>
      <c r="G2334" s="34" t="s">
        <v>9726</v>
      </c>
      <c r="I2334" s="35" t="s">
        <v>13959</v>
      </c>
      <c r="J2334" s="36" t="s">
        <v>1769</v>
      </c>
    </row>
    <row r="2335" spans="1:10" x14ac:dyDescent="0.25">
      <c r="A2335" s="31" t="s">
        <v>1770</v>
      </c>
      <c r="B2335" s="31">
        <v>54.010399999999997</v>
      </c>
      <c r="C2335" s="32" t="s">
        <v>13966</v>
      </c>
      <c r="D2335" s="31" t="s">
        <v>13958</v>
      </c>
      <c r="E2335" s="40" t="s">
        <v>13967</v>
      </c>
      <c r="F2335" s="38" t="s">
        <v>9210</v>
      </c>
      <c r="G2335" s="34" t="s">
        <v>9726</v>
      </c>
      <c r="I2335" s="35" t="s">
        <v>13959</v>
      </c>
      <c r="J2335" s="36" t="s">
        <v>1770</v>
      </c>
    </row>
    <row r="2336" spans="1:10" x14ac:dyDescent="0.25">
      <c r="A2336" s="31" t="s">
        <v>1771</v>
      </c>
      <c r="B2336" s="31">
        <v>54.0105</v>
      </c>
      <c r="C2336" s="32" t="s">
        <v>13968</v>
      </c>
      <c r="D2336" s="31" t="s">
        <v>13958</v>
      </c>
      <c r="E2336" s="40" t="s">
        <v>13969</v>
      </c>
      <c r="F2336" s="38" t="s">
        <v>9210</v>
      </c>
      <c r="G2336" s="34" t="s">
        <v>9726</v>
      </c>
      <c r="I2336" s="35" t="s">
        <v>13959</v>
      </c>
      <c r="J2336" s="36" t="s">
        <v>1771</v>
      </c>
    </row>
    <row r="2337" spans="1:10" x14ac:dyDescent="0.25">
      <c r="A2337" s="31" t="s">
        <v>1772</v>
      </c>
      <c r="B2337" s="31">
        <v>54.010599999999997</v>
      </c>
      <c r="C2337" s="32" t="s">
        <v>13970</v>
      </c>
      <c r="D2337" s="31" t="s">
        <v>13958</v>
      </c>
      <c r="E2337" s="40" t="s">
        <v>13971</v>
      </c>
      <c r="F2337" s="38" t="s">
        <v>9210</v>
      </c>
      <c r="G2337" s="34" t="s">
        <v>9726</v>
      </c>
      <c r="I2337" s="35" t="s">
        <v>13959</v>
      </c>
      <c r="J2337" s="36" t="s">
        <v>1772</v>
      </c>
    </row>
    <row r="2338" spans="1:10" x14ac:dyDescent="0.25">
      <c r="A2338" s="31" t="s">
        <v>1773</v>
      </c>
      <c r="B2338" s="31">
        <v>54.0107</v>
      </c>
      <c r="C2338" s="32" t="s">
        <v>13972</v>
      </c>
      <c r="D2338" s="31" t="s">
        <v>13958</v>
      </c>
      <c r="E2338" s="40" t="s">
        <v>13973</v>
      </c>
      <c r="F2338" s="38" t="s">
        <v>9210</v>
      </c>
      <c r="G2338" s="34" t="s">
        <v>9726</v>
      </c>
      <c r="I2338" s="35" t="s">
        <v>13959</v>
      </c>
      <c r="J2338" s="36" t="s">
        <v>1773</v>
      </c>
    </row>
    <row r="2339" spans="1:10" x14ac:dyDescent="0.25">
      <c r="A2339" s="31" t="s">
        <v>1774</v>
      </c>
      <c r="B2339" s="31">
        <v>54.010800000000003</v>
      </c>
      <c r="C2339" s="32" t="s">
        <v>13974</v>
      </c>
      <c r="D2339" s="31" t="s">
        <v>13958</v>
      </c>
      <c r="E2339" s="40" t="s">
        <v>13975</v>
      </c>
      <c r="F2339" s="38" t="s">
        <v>9210</v>
      </c>
      <c r="G2339" s="34" t="s">
        <v>9726</v>
      </c>
      <c r="I2339" s="35" t="s">
        <v>13959</v>
      </c>
      <c r="J2339" s="36" t="s">
        <v>1774</v>
      </c>
    </row>
    <row r="2340" spans="1:10" x14ac:dyDescent="0.25">
      <c r="A2340" s="31" t="s">
        <v>1775</v>
      </c>
      <c r="B2340" s="31">
        <v>54.0199</v>
      </c>
      <c r="C2340" s="32" t="s">
        <v>13976</v>
      </c>
      <c r="D2340" s="31" t="s">
        <v>13958</v>
      </c>
      <c r="E2340" s="40" t="s">
        <v>13977</v>
      </c>
      <c r="F2340" s="38" t="s">
        <v>9210</v>
      </c>
      <c r="G2340" s="34" t="s">
        <v>9726</v>
      </c>
      <c r="I2340" s="35" t="s">
        <v>13959</v>
      </c>
      <c r="J2340" s="36" t="s">
        <v>1775</v>
      </c>
    </row>
    <row r="2341" spans="1:10" x14ac:dyDescent="0.25">
      <c r="A2341" s="31" t="s">
        <v>1930</v>
      </c>
      <c r="B2341" s="31">
        <v>55</v>
      </c>
      <c r="C2341" s="32" t="s">
        <v>13978</v>
      </c>
      <c r="D2341" s="31" t="s">
        <v>13978</v>
      </c>
      <c r="E2341" s="40" t="s">
        <v>9727</v>
      </c>
      <c r="F2341" s="31" t="s">
        <v>9421</v>
      </c>
      <c r="G2341" s="34" t="s">
        <v>9727</v>
      </c>
      <c r="H2341" s="34" t="s">
        <v>9727</v>
      </c>
      <c r="I2341" s="35" t="s">
        <v>13978</v>
      </c>
      <c r="J2341" s="36" t="s">
        <v>1930</v>
      </c>
    </row>
    <row r="2342" spans="1:10" x14ac:dyDescent="0.25">
      <c r="A2342" s="31" t="s">
        <v>1793</v>
      </c>
      <c r="B2342" s="31">
        <v>55.01</v>
      </c>
      <c r="C2342" s="32" t="s">
        <v>13979</v>
      </c>
      <c r="D2342" s="31" t="s">
        <v>13978</v>
      </c>
      <c r="E2342" s="40" t="s">
        <v>9728</v>
      </c>
      <c r="F2342" s="31" t="s">
        <v>9421</v>
      </c>
      <c r="G2342" s="34" t="s">
        <v>9728</v>
      </c>
      <c r="H2342" s="34" t="s">
        <v>9728</v>
      </c>
      <c r="I2342" s="35" t="s">
        <v>13979</v>
      </c>
      <c r="J2342" s="36" t="s">
        <v>1793</v>
      </c>
    </row>
    <row r="2343" spans="1:10" x14ac:dyDescent="0.25">
      <c r="A2343" s="31" t="s">
        <v>1793</v>
      </c>
      <c r="B2343" s="31">
        <v>55.010100000000001</v>
      </c>
      <c r="C2343" s="32" t="s">
        <v>13980</v>
      </c>
      <c r="D2343" s="31" t="s">
        <v>13978</v>
      </c>
      <c r="E2343" s="40" t="s">
        <v>13981</v>
      </c>
      <c r="F2343" s="31" t="s">
        <v>9421</v>
      </c>
      <c r="G2343" s="34" t="s">
        <v>9728</v>
      </c>
      <c r="I2343" s="35" t="s">
        <v>13979</v>
      </c>
      <c r="J2343" s="36" t="s">
        <v>1793</v>
      </c>
    </row>
    <row r="2344" spans="1:10" x14ac:dyDescent="0.25">
      <c r="A2344" s="31" t="s">
        <v>1793</v>
      </c>
      <c r="B2344" s="31">
        <v>55.13</v>
      </c>
      <c r="C2344" s="32" t="s">
        <v>13982</v>
      </c>
      <c r="D2344" s="31" t="s">
        <v>13978</v>
      </c>
      <c r="E2344" s="40" t="s">
        <v>9729</v>
      </c>
      <c r="F2344" s="31" t="s">
        <v>9421</v>
      </c>
      <c r="G2344" s="34" t="s">
        <v>9729</v>
      </c>
      <c r="H2344" s="34" t="s">
        <v>9729</v>
      </c>
      <c r="I2344" s="35" t="s">
        <v>13982</v>
      </c>
      <c r="J2344" s="36" t="s">
        <v>1793</v>
      </c>
    </row>
    <row r="2345" spans="1:10" x14ac:dyDescent="0.25">
      <c r="A2345" s="31" t="s">
        <v>1793</v>
      </c>
      <c r="B2345" s="31">
        <v>55.130099999999999</v>
      </c>
      <c r="C2345" s="32" t="s">
        <v>13983</v>
      </c>
      <c r="D2345" s="31" t="s">
        <v>13978</v>
      </c>
      <c r="E2345" s="40" t="s">
        <v>13984</v>
      </c>
      <c r="F2345" s="31" t="s">
        <v>9421</v>
      </c>
      <c r="G2345" s="34" t="s">
        <v>9729</v>
      </c>
      <c r="I2345" s="35" t="s">
        <v>13982</v>
      </c>
      <c r="J2345" s="36" t="s">
        <v>1793</v>
      </c>
    </row>
    <row r="2346" spans="1:10" x14ac:dyDescent="0.25">
      <c r="A2346" s="31" t="s">
        <v>1793</v>
      </c>
      <c r="B2346" s="31">
        <v>55.130200000000002</v>
      </c>
      <c r="C2346" s="32" t="s">
        <v>13985</v>
      </c>
      <c r="D2346" s="31" t="s">
        <v>13978</v>
      </c>
      <c r="E2346" s="40" t="s">
        <v>13986</v>
      </c>
      <c r="F2346" s="31" t="s">
        <v>9421</v>
      </c>
      <c r="G2346" s="34" t="s">
        <v>9729</v>
      </c>
      <c r="I2346" s="35" t="s">
        <v>13982</v>
      </c>
      <c r="J2346" s="36" t="s">
        <v>1793</v>
      </c>
    </row>
    <row r="2347" spans="1:10" x14ac:dyDescent="0.25">
      <c r="A2347" s="31" t="s">
        <v>1793</v>
      </c>
      <c r="B2347" s="31">
        <v>55.130299999999998</v>
      </c>
      <c r="C2347" s="32" t="s">
        <v>13987</v>
      </c>
      <c r="D2347" s="31" t="s">
        <v>13978</v>
      </c>
      <c r="E2347" s="40" t="s">
        <v>13988</v>
      </c>
      <c r="F2347" s="31" t="s">
        <v>9421</v>
      </c>
      <c r="G2347" s="34" t="s">
        <v>9729</v>
      </c>
      <c r="I2347" s="35" t="s">
        <v>13982</v>
      </c>
      <c r="J2347" s="36" t="s">
        <v>1793</v>
      </c>
    </row>
    <row r="2348" spans="1:10" x14ac:dyDescent="0.25">
      <c r="A2348" s="31" t="s">
        <v>1793</v>
      </c>
      <c r="B2348" s="31">
        <v>55.130400000000002</v>
      </c>
      <c r="C2348" s="32" t="s">
        <v>13989</v>
      </c>
      <c r="D2348" s="31" t="s">
        <v>13978</v>
      </c>
      <c r="E2348" s="40" t="s">
        <v>13990</v>
      </c>
      <c r="F2348" s="31" t="s">
        <v>9421</v>
      </c>
      <c r="G2348" s="34" t="s">
        <v>9729</v>
      </c>
      <c r="I2348" s="35" t="s">
        <v>13982</v>
      </c>
      <c r="J2348" s="36" t="s">
        <v>1793</v>
      </c>
    </row>
    <row r="2349" spans="1:10" x14ac:dyDescent="0.25">
      <c r="A2349" s="31" t="s">
        <v>1793</v>
      </c>
      <c r="B2349" s="31">
        <v>55.139899999999997</v>
      </c>
      <c r="C2349" s="32" t="s">
        <v>13991</v>
      </c>
      <c r="D2349" s="31" t="s">
        <v>13978</v>
      </c>
      <c r="E2349" s="40" t="s">
        <v>13992</v>
      </c>
      <c r="F2349" s="31" t="s">
        <v>9421</v>
      </c>
      <c r="G2349" s="34" t="s">
        <v>9729</v>
      </c>
      <c r="I2349" s="35" t="s">
        <v>13982</v>
      </c>
      <c r="J2349" s="36" t="s">
        <v>1793</v>
      </c>
    </row>
    <row r="2350" spans="1:10" x14ac:dyDescent="0.25">
      <c r="A2350" s="31" t="s">
        <v>1793</v>
      </c>
      <c r="B2350" s="31">
        <v>55.14</v>
      </c>
      <c r="C2350" s="32" t="s">
        <v>13993</v>
      </c>
      <c r="D2350" s="31" t="s">
        <v>13978</v>
      </c>
      <c r="E2350" s="40" t="s">
        <v>9730</v>
      </c>
      <c r="F2350" s="31" t="s">
        <v>9421</v>
      </c>
      <c r="G2350" s="34" t="s">
        <v>9730</v>
      </c>
      <c r="H2350" s="34" t="s">
        <v>9730</v>
      </c>
      <c r="I2350" s="35" t="s">
        <v>13993</v>
      </c>
      <c r="J2350" s="36" t="s">
        <v>1793</v>
      </c>
    </row>
    <row r="2351" spans="1:10" x14ac:dyDescent="0.25">
      <c r="A2351" s="31" t="s">
        <v>1793</v>
      </c>
      <c r="B2351" s="31">
        <v>55.140099999999997</v>
      </c>
      <c r="C2351" s="32" t="s">
        <v>13994</v>
      </c>
      <c r="D2351" s="31" t="s">
        <v>13978</v>
      </c>
      <c r="E2351" s="40" t="s">
        <v>13995</v>
      </c>
      <c r="F2351" s="31" t="s">
        <v>9421</v>
      </c>
      <c r="G2351" s="34" t="s">
        <v>9730</v>
      </c>
      <c r="I2351" s="35" t="s">
        <v>13993</v>
      </c>
      <c r="J2351" s="36" t="s">
        <v>1793</v>
      </c>
    </row>
    <row r="2352" spans="1:10" x14ac:dyDescent="0.25">
      <c r="A2352" s="31" t="s">
        <v>1793</v>
      </c>
      <c r="B2352" s="31">
        <v>55.140300000000003</v>
      </c>
      <c r="C2352" s="32" t="s">
        <v>13996</v>
      </c>
      <c r="D2352" s="31" t="s">
        <v>13978</v>
      </c>
      <c r="E2352" s="40" t="s">
        <v>13997</v>
      </c>
      <c r="F2352" s="31" t="s">
        <v>9421</v>
      </c>
      <c r="G2352" s="34" t="s">
        <v>9730</v>
      </c>
      <c r="I2352" s="35" t="s">
        <v>13993</v>
      </c>
      <c r="J2352" s="36" t="s">
        <v>1793</v>
      </c>
    </row>
    <row r="2353" spans="1:10" x14ac:dyDescent="0.25">
      <c r="A2353" s="31" t="s">
        <v>1793</v>
      </c>
      <c r="B2353" s="31">
        <v>55.1404</v>
      </c>
      <c r="C2353" s="32" t="s">
        <v>13998</v>
      </c>
      <c r="D2353" s="31" t="s">
        <v>13978</v>
      </c>
      <c r="E2353" s="40" t="s">
        <v>13999</v>
      </c>
      <c r="F2353" s="31" t="s">
        <v>9421</v>
      </c>
      <c r="G2353" s="34" t="s">
        <v>9730</v>
      </c>
      <c r="I2353" s="35" t="s">
        <v>13993</v>
      </c>
      <c r="J2353" s="36" t="s">
        <v>1793</v>
      </c>
    </row>
    <row r="2354" spans="1:10" x14ac:dyDescent="0.25">
      <c r="A2354" s="31" t="s">
        <v>1793</v>
      </c>
      <c r="B2354" s="31">
        <v>55.140500000000003</v>
      </c>
      <c r="C2354" s="32" t="s">
        <v>14000</v>
      </c>
      <c r="D2354" s="31" t="s">
        <v>13978</v>
      </c>
      <c r="E2354" s="40" t="s">
        <v>14001</v>
      </c>
      <c r="F2354" s="31" t="s">
        <v>9421</v>
      </c>
      <c r="G2354" s="34" t="s">
        <v>9730</v>
      </c>
      <c r="I2354" s="35" t="s">
        <v>13993</v>
      </c>
      <c r="J2354" s="36" t="s">
        <v>1793</v>
      </c>
    </row>
    <row r="2355" spans="1:10" x14ac:dyDescent="0.25">
      <c r="A2355" s="31" t="s">
        <v>1793</v>
      </c>
      <c r="B2355" s="31">
        <v>55.149900000000002</v>
      </c>
      <c r="C2355" s="32" t="s">
        <v>14002</v>
      </c>
      <c r="D2355" s="31" t="s">
        <v>13978</v>
      </c>
      <c r="E2355" s="40" t="s">
        <v>14003</v>
      </c>
      <c r="F2355" s="31" t="s">
        <v>9421</v>
      </c>
      <c r="G2355" s="34" t="s">
        <v>9730</v>
      </c>
      <c r="I2355" s="35" t="s">
        <v>13993</v>
      </c>
      <c r="J2355" s="36" t="s">
        <v>1793</v>
      </c>
    </row>
    <row r="2356" spans="1:10" x14ac:dyDescent="0.25">
      <c r="A2356" s="31" t="s">
        <v>1793</v>
      </c>
      <c r="B2356" s="31">
        <v>55.99</v>
      </c>
      <c r="C2356" s="32" t="s">
        <v>14004</v>
      </c>
      <c r="D2356" s="31" t="s">
        <v>13978</v>
      </c>
      <c r="E2356" s="40" t="s">
        <v>9731</v>
      </c>
      <c r="F2356" s="31" t="s">
        <v>9421</v>
      </c>
      <c r="G2356" s="34" t="s">
        <v>9731</v>
      </c>
      <c r="H2356" s="34" t="s">
        <v>9731</v>
      </c>
      <c r="I2356" s="35" t="s">
        <v>14004</v>
      </c>
      <c r="J2356" s="36" t="s">
        <v>1793</v>
      </c>
    </row>
    <row r="2357" spans="1:10" x14ac:dyDescent="0.25">
      <c r="A2357" s="31" t="s">
        <v>1793</v>
      </c>
      <c r="B2357" s="31">
        <v>55.999899999999997</v>
      </c>
      <c r="C2357" s="32" t="s">
        <v>14005</v>
      </c>
      <c r="D2357" s="31" t="s">
        <v>13978</v>
      </c>
      <c r="E2357" s="40" t="s">
        <v>14006</v>
      </c>
      <c r="F2357" s="31" t="s">
        <v>9421</v>
      </c>
      <c r="G2357" s="34" t="s">
        <v>9731</v>
      </c>
      <c r="I2357" s="35" t="s">
        <v>14004</v>
      </c>
      <c r="J2357" s="36" t="s">
        <v>1793</v>
      </c>
    </row>
    <row r="2358" spans="1:10" x14ac:dyDescent="0.25">
      <c r="A2358" s="31" t="s">
        <v>2180</v>
      </c>
      <c r="B2358" s="31">
        <v>60</v>
      </c>
      <c r="C2358" s="32" t="s">
        <v>14007</v>
      </c>
      <c r="D2358" s="31" t="s">
        <v>14007</v>
      </c>
      <c r="E2358" s="40" t="s">
        <v>9733</v>
      </c>
      <c r="F2358" s="31" t="s">
        <v>9732</v>
      </c>
      <c r="G2358" s="34" t="s">
        <v>9733</v>
      </c>
      <c r="H2358" s="34" t="s">
        <v>9733</v>
      </c>
      <c r="I2358" s="35" t="s">
        <v>14007</v>
      </c>
      <c r="J2358" s="36" t="s">
        <v>2180</v>
      </c>
    </row>
    <row r="2359" spans="1:10" x14ac:dyDescent="0.25">
      <c r="A2359" s="31" t="s">
        <v>2181</v>
      </c>
      <c r="B2359" s="31">
        <v>60.01</v>
      </c>
      <c r="C2359" s="32" t="s">
        <v>14008</v>
      </c>
      <c r="D2359" s="31" t="s">
        <v>14007</v>
      </c>
      <c r="E2359" s="40" t="s">
        <v>9734</v>
      </c>
      <c r="F2359" s="31" t="s">
        <v>9732</v>
      </c>
      <c r="G2359" s="34" t="s">
        <v>9734</v>
      </c>
      <c r="H2359" s="34" t="s">
        <v>9734</v>
      </c>
      <c r="I2359" s="35" t="s">
        <v>14008</v>
      </c>
      <c r="J2359" s="36" t="s">
        <v>2181</v>
      </c>
    </row>
    <row r="2360" spans="1:10" x14ac:dyDescent="0.25">
      <c r="A2360" s="31" t="s">
        <v>2182</v>
      </c>
      <c r="B2360" s="31">
        <v>60.010100000000001</v>
      </c>
      <c r="C2360" s="32" t="s">
        <v>14009</v>
      </c>
      <c r="D2360" s="31" t="s">
        <v>14007</v>
      </c>
      <c r="E2360" s="40" t="s">
        <v>14010</v>
      </c>
      <c r="F2360" s="31" t="s">
        <v>9732</v>
      </c>
      <c r="G2360" s="34" t="s">
        <v>9734</v>
      </c>
      <c r="I2360" s="35" t="s">
        <v>14008</v>
      </c>
      <c r="J2360" s="36" t="s">
        <v>2182</v>
      </c>
    </row>
    <row r="2361" spans="1:10" x14ac:dyDescent="0.25">
      <c r="A2361" s="31" t="s">
        <v>2183</v>
      </c>
      <c r="B2361" s="31">
        <v>60.010199999999998</v>
      </c>
      <c r="C2361" s="32" t="s">
        <v>14011</v>
      </c>
      <c r="D2361" s="31" t="s">
        <v>14007</v>
      </c>
      <c r="E2361" s="40" t="s">
        <v>14012</v>
      </c>
      <c r="F2361" s="31" t="s">
        <v>9732</v>
      </c>
      <c r="G2361" s="34" t="s">
        <v>9734</v>
      </c>
      <c r="I2361" s="35" t="s">
        <v>14008</v>
      </c>
      <c r="J2361" s="36" t="s">
        <v>2183</v>
      </c>
    </row>
    <row r="2362" spans="1:10" x14ac:dyDescent="0.25">
      <c r="A2362" s="31" t="s">
        <v>2184</v>
      </c>
      <c r="B2362" s="31">
        <v>60.010300000000001</v>
      </c>
      <c r="C2362" s="32" t="s">
        <v>14013</v>
      </c>
      <c r="D2362" s="31" t="s">
        <v>14007</v>
      </c>
      <c r="E2362" s="40" t="s">
        <v>14014</v>
      </c>
      <c r="F2362" s="31" t="s">
        <v>9732</v>
      </c>
      <c r="G2362" s="34" t="s">
        <v>9734</v>
      </c>
      <c r="I2362" s="35" t="s">
        <v>14008</v>
      </c>
      <c r="J2362" s="36" t="s">
        <v>2184</v>
      </c>
    </row>
    <row r="2363" spans="1:10" x14ac:dyDescent="0.25">
      <c r="A2363" s="31" t="s">
        <v>2185</v>
      </c>
      <c r="B2363" s="31">
        <v>60.010399999999997</v>
      </c>
      <c r="C2363" s="32" t="s">
        <v>14015</v>
      </c>
      <c r="D2363" s="31" t="s">
        <v>14007</v>
      </c>
      <c r="E2363" s="40" t="s">
        <v>14016</v>
      </c>
      <c r="F2363" s="31" t="s">
        <v>9732</v>
      </c>
      <c r="G2363" s="34" t="s">
        <v>9734</v>
      </c>
      <c r="I2363" s="35" t="s">
        <v>14008</v>
      </c>
      <c r="J2363" s="36" t="s">
        <v>2185</v>
      </c>
    </row>
    <row r="2364" spans="1:10" x14ac:dyDescent="0.25">
      <c r="A2364" s="31" t="s">
        <v>2186</v>
      </c>
      <c r="B2364" s="31">
        <v>60.0105</v>
      </c>
      <c r="C2364" s="32" t="s">
        <v>14017</v>
      </c>
      <c r="D2364" s="31" t="s">
        <v>14007</v>
      </c>
      <c r="E2364" s="40" t="s">
        <v>14018</v>
      </c>
      <c r="F2364" s="31" t="s">
        <v>9732</v>
      </c>
      <c r="G2364" s="34" t="s">
        <v>9734</v>
      </c>
      <c r="I2364" s="35" t="s">
        <v>14008</v>
      </c>
      <c r="J2364" s="36" t="s">
        <v>2186</v>
      </c>
    </row>
    <row r="2365" spans="1:10" x14ac:dyDescent="0.25">
      <c r="A2365" s="31" t="s">
        <v>2187</v>
      </c>
      <c r="B2365" s="31">
        <v>60.010599999999997</v>
      </c>
      <c r="C2365" s="32" t="s">
        <v>14019</v>
      </c>
      <c r="D2365" s="31" t="s">
        <v>14007</v>
      </c>
      <c r="E2365" s="40" t="s">
        <v>14020</v>
      </c>
      <c r="F2365" s="31" t="s">
        <v>9732</v>
      </c>
      <c r="G2365" s="34" t="s">
        <v>9734</v>
      </c>
      <c r="I2365" s="35" t="s">
        <v>14008</v>
      </c>
      <c r="J2365" s="36" t="s">
        <v>2187</v>
      </c>
    </row>
    <row r="2366" spans="1:10" x14ac:dyDescent="0.25">
      <c r="A2366" s="31" t="s">
        <v>2188</v>
      </c>
      <c r="B2366" s="31">
        <v>60.0107</v>
      </c>
      <c r="C2366" s="32" t="s">
        <v>14021</v>
      </c>
      <c r="D2366" s="31" t="s">
        <v>14007</v>
      </c>
      <c r="E2366" s="40" t="s">
        <v>14022</v>
      </c>
      <c r="F2366" s="31" t="s">
        <v>9732</v>
      </c>
      <c r="G2366" s="34" t="s">
        <v>9734</v>
      </c>
      <c r="I2366" s="35" t="s">
        <v>14008</v>
      </c>
      <c r="J2366" s="36" t="s">
        <v>2188</v>
      </c>
    </row>
    <row r="2367" spans="1:10" x14ac:dyDescent="0.25">
      <c r="A2367" s="31" t="s">
        <v>2189</v>
      </c>
      <c r="B2367" s="31">
        <v>60.010800000000003</v>
      </c>
      <c r="C2367" s="32" t="s">
        <v>14023</v>
      </c>
      <c r="D2367" s="31" t="s">
        <v>14007</v>
      </c>
      <c r="E2367" s="40" t="s">
        <v>14024</v>
      </c>
      <c r="F2367" s="31" t="s">
        <v>9732</v>
      </c>
      <c r="G2367" s="34" t="s">
        <v>9734</v>
      </c>
      <c r="I2367" s="35" t="s">
        <v>14008</v>
      </c>
      <c r="J2367" s="36" t="s">
        <v>2189</v>
      </c>
    </row>
    <row r="2368" spans="1:10" x14ac:dyDescent="0.25">
      <c r="A2368" s="31" t="s">
        <v>2190</v>
      </c>
      <c r="B2368" s="31">
        <v>60.010899999999999</v>
      </c>
      <c r="C2368" s="32" t="s">
        <v>14025</v>
      </c>
      <c r="D2368" s="31" t="s">
        <v>14007</v>
      </c>
      <c r="E2368" s="40" t="s">
        <v>14026</v>
      </c>
      <c r="F2368" s="31" t="s">
        <v>9732</v>
      </c>
      <c r="G2368" s="34" t="s">
        <v>9734</v>
      </c>
      <c r="I2368" s="35" t="s">
        <v>14008</v>
      </c>
      <c r="J2368" s="36" t="s">
        <v>2190</v>
      </c>
    </row>
    <row r="2369" spans="1:10" x14ac:dyDescent="0.25">
      <c r="A2369" s="31" t="s">
        <v>2191</v>
      </c>
      <c r="B2369" s="31">
        <v>60.011000000000003</v>
      </c>
      <c r="C2369" s="32" t="s">
        <v>14027</v>
      </c>
      <c r="D2369" s="31" t="s">
        <v>14007</v>
      </c>
      <c r="E2369" s="40" t="s">
        <v>14028</v>
      </c>
      <c r="F2369" s="31" t="s">
        <v>9732</v>
      </c>
      <c r="G2369" s="34" t="s">
        <v>9734</v>
      </c>
      <c r="I2369" s="35" t="s">
        <v>14008</v>
      </c>
      <c r="J2369" s="36" t="s">
        <v>2191</v>
      </c>
    </row>
    <row r="2370" spans="1:10" x14ac:dyDescent="0.25">
      <c r="A2370" s="31" t="s">
        <v>2192</v>
      </c>
      <c r="B2370" s="31">
        <v>60.0199</v>
      </c>
      <c r="C2370" s="32" t="s">
        <v>14029</v>
      </c>
      <c r="D2370" s="31" t="s">
        <v>14007</v>
      </c>
      <c r="E2370" s="40" t="s">
        <v>14030</v>
      </c>
      <c r="F2370" s="31" t="s">
        <v>9732</v>
      </c>
      <c r="G2370" s="34" t="s">
        <v>9734</v>
      </c>
      <c r="I2370" s="35" t="s">
        <v>14008</v>
      </c>
      <c r="J2370" s="36" t="s">
        <v>2192</v>
      </c>
    </row>
    <row r="2371" spans="1:10" x14ac:dyDescent="0.25">
      <c r="A2371" s="31" t="s">
        <v>2193</v>
      </c>
      <c r="B2371" s="31">
        <v>60.03</v>
      </c>
      <c r="C2371" s="32" t="s">
        <v>14031</v>
      </c>
      <c r="D2371" s="31" t="s">
        <v>14007</v>
      </c>
      <c r="E2371" s="40" t="s">
        <v>9735</v>
      </c>
      <c r="F2371" s="31" t="s">
        <v>9732</v>
      </c>
      <c r="G2371" s="34" t="s">
        <v>9735</v>
      </c>
      <c r="H2371" s="34" t="s">
        <v>9735</v>
      </c>
      <c r="I2371" s="35" t="s">
        <v>14031</v>
      </c>
      <c r="J2371" s="36" t="s">
        <v>2193</v>
      </c>
    </row>
    <row r="2372" spans="1:10" x14ac:dyDescent="0.25">
      <c r="A2372" s="31" t="s">
        <v>2194</v>
      </c>
      <c r="B2372" s="31">
        <v>60.030099999999997</v>
      </c>
      <c r="C2372" s="32" t="s">
        <v>14032</v>
      </c>
      <c r="D2372" s="31" t="s">
        <v>14007</v>
      </c>
      <c r="E2372" s="40" t="s">
        <v>14033</v>
      </c>
      <c r="F2372" s="31" t="s">
        <v>9732</v>
      </c>
      <c r="G2372" s="34" t="s">
        <v>9735</v>
      </c>
      <c r="I2372" s="35" t="s">
        <v>14031</v>
      </c>
      <c r="J2372" s="36" t="s">
        <v>2194</v>
      </c>
    </row>
    <row r="2373" spans="1:10" x14ac:dyDescent="0.25">
      <c r="A2373" s="31" t="s">
        <v>2195</v>
      </c>
      <c r="B2373" s="31">
        <v>60.030200000000001</v>
      </c>
      <c r="C2373" s="32" t="s">
        <v>14034</v>
      </c>
      <c r="D2373" s="31" t="s">
        <v>14007</v>
      </c>
      <c r="E2373" s="40" t="s">
        <v>14035</v>
      </c>
      <c r="F2373" s="31" t="s">
        <v>9732</v>
      </c>
      <c r="G2373" s="34" t="s">
        <v>9735</v>
      </c>
      <c r="I2373" s="35" t="s">
        <v>14031</v>
      </c>
      <c r="J2373" s="36" t="s">
        <v>2195</v>
      </c>
    </row>
    <row r="2374" spans="1:10" x14ac:dyDescent="0.25">
      <c r="A2374" s="31" t="s">
        <v>2196</v>
      </c>
      <c r="B2374" s="31">
        <v>60.030299999999997</v>
      </c>
      <c r="C2374" s="32" t="s">
        <v>14036</v>
      </c>
      <c r="D2374" s="31" t="s">
        <v>14007</v>
      </c>
      <c r="E2374" s="40" t="s">
        <v>14037</v>
      </c>
      <c r="F2374" s="31" t="s">
        <v>9732</v>
      </c>
      <c r="G2374" s="34" t="s">
        <v>9735</v>
      </c>
      <c r="I2374" s="35" t="s">
        <v>14031</v>
      </c>
      <c r="J2374" s="36" t="s">
        <v>2196</v>
      </c>
    </row>
    <row r="2375" spans="1:10" x14ac:dyDescent="0.25">
      <c r="A2375" s="31" t="s">
        <v>2197</v>
      </c>
      <c r="B2375" s="31">
        <v>60.0304</v>
      </c>
      <c r="C2375" s="32" t="s">
        <v>14038</v>
      </c>
      <c r="D2375" s="31" t="s">
        <v>14007</v>
      </c>
      <c r="E2375" s="40" t="s">
        <v>14039</v>
      </c>
      <c r="F2375" s="31" t="s">
        <v>9732</v>
      </c>
      <c r="G2375" s="34" t="s">
        <v>9735</v>
      </c>
      <c r="I2375" s="35" t="s">
        <v>14031</v>
      </c>
      <c r="J2375" s="36" t="s">
        <v>2197</v>
      </c>
    </row>
    <row r="2376" spans="1:10" x14ac:dyDescent="0.25">
      <c r="A2376" s="31" t="s">
        <v>2198</v>
      </c>
      <c r="B2376" s="31">
        <v>60.030500000000004</v>
      </c>
      <c r="C2376" s="32" t="s">
        <v>14040</v>
      </c>
      <c r="D2376" s="31" t="s">
        <v>14007</v>
      </c>
      <c r="E2376" s="40" t="s">
        <v>14041</v>
      </c>
      <c r="F2376" s="31" t="s">
        <v>9732</v>
      </c>
      <c r="G2376" s="34" t="s">
        <v>9735</v>
      </c>
      <c r="I2376" s="35" t="s">
        <v>14031</v>
      </c>
      <c r="J2376" s="36" t="s">
        <v>2198</v>
      </c>
    </row>
    <row r="2377" spans="1:10" x14ac:dyDescent="0.25">
      <c r="A2377" s="31" t="s">
        <v>2199</v>
      </c>
      <c r="B2377" s="31">
        <v>60.0306</v>
      </c>
      <c r="C2377" s="32" t="s">
        <v>14042</v>
      </c>
      <c r="D2377" s="31" t="s">
        <v>14007</v>
      </c>
      <c r="E2377" s="40" t="s">
        <v>14043</v>
      </c>
      <c r="F2377" s="31" t="s">
        <v>9732</v>
      </c>
      <c r="G2377" s="34" t="s">
        <v>9735</v>
      </c>
      <c r="I2377" s="35" t="s">
        <v>14031</v>
      </c>
      <c r="J2377" s="36" t="s">
        <v>2199</v>
      </c>
    </row>
    <row r="2378" spans="1:10" x14ac:dyDescent="0.25">
      <c r="A2378" s="31" t="s">
        <v>2200</v>
      </c>
      <c r="B2378" s="31">
        <v>60.030700000000003</v>
      </c>
      <c r="C2378" s="32" t="s">
        <v>14044</v>
      </c>
      <c r="D2378" s="31" t="s">
        <v>14007</v>
      </c>
      <c r="E2378" s="40" t="s">
        <v>14045</v>
      </c>
      <c r="F2378" s="31" t="s">
        <v>9732</v>
      </c>
      <c r="G2378" s="34" t="s">
        <v>9735</v>
      </c>
      <c r="I2378" s="35" t="s">
        <v>14031</v>
      </c>
      <c r="J2378" s="36" t="s">
        <v>2200</v>
      </c>
    </row>
    <row r="2379" spans="1:10" x14ac:dyDescent="0.25">
      <c r="A2379" s="31" t="s">
        <v>2201</v>
      </c>
      <c r="B2379" s="31">
        <v>60.030799999999999</v>
      </c>
      <c r="C2379" s="32" t="s">
        <v>14046</v>
      </c>
      <c r="D2379" s="31" t="s">
        <v>14007</v>
      </c>
      <c r="E2379" s="40" t="s">
        <v>14047</v>
      </c>
      <c r="F2379" s="31" t="s">
        <v>9732</v>
      </c>
      <c r="G2379" s="34" t="s">
        <v>9735</v>
      </c>
      <c r="I2379" s="35" t="s">
        <v>14031</v>
      </c>
      <c r="J2379" s="36" t="s">
        <v>2201</v>
      </c>
    </row>
    <row r="2380" spans="1:10" x14ac:dyDescent="0.25">
      <c r="A2380" s="31" t="s">
        <v>2202</v>
      </c>
      <c r="B2380" s="31">
        <v>60.030900000000003</v>
      </c>
      <c r="C2380" s="32" t="s">
        <v>14048</v>
      </c>
      <c r="D2380" s="31" t="s">
        <v>14007</v>
      </c>
      <c r="E2380" s="40" t="s">
        <v>14049</v>
      </c>
      <c r="F2380" s="31" t="s">
        <v>9732</v>
      </c>
      <c r="G2380" s="34" t="s">
        <v>9735</v>
      </c>
      <c r="I2380" s="35" t="s">
        <v>14031</v>
      </c>
      <c r="J2380" s="36" t="s">
        <v>2202</v>
      </c>
    </row>
    <row r="2381" spans="1:10" x14ac:dyDescent="0.25">
      <c r="A2381" s="31" t="s">
        <v>2203</v>
      </c>
      <c r="B2381" s="31">
        <v>60.030999999999999</v>
      </c>
      <c r="C2381" s="32" t="s">
        <v>14050</v>
      </c>
      <c r="D2381" s="31" t="s">
        <v>14007</v>
      </c>
      <c r="E2381" s="40" t="s">
        <v>14051</v>
      </c>
      <c r="F2381" s="31" t="s">
        <v>9732</v>
      </c>
      <c r="G2381" s="34" t="s">
        <v>9735</v>
      </c>
      <c r="I2381" s="35" t="s">
        <v>14031</v>
      </c>
      <c r="J2381" s="36" t="s">
        <v>2203</v>
      </c>
    </row>
    <row r="2382" spans="1:10" x14ac:dyDescent="0.25">
      <c r="A2382" s="31" t="s">
        <v>2204</v>
      </c>
      <c r="B2382" s="31">
        <v>60.031100000000002</v>
      </c>
      <c r="C2382" s="32" t="s">
        <v>14052</v>
      </c>
      <c r="D2382" s="31" t="s">
        <v>14007</v>
      </c>
      <c r="E2382" s="40" t="s">
        <v>14053</v>
      </c>
      <c r="F2382" s="31" t="s">
        <v>9732</v>
      </c>
      <c r="G2382" s="34" t="s">
        <v>9735</v>
      </c>
      <c r="I2382" s="35" t="s">
        <v>14031</v>
      </c>
      <c r="J2382" s="36" t="s">
        <v>2204</v>
      </c>
    </row>
    <row r="2383" spans="1:10" x14ac:dyDescent="0.25">
      <c r="A2383" s="31" t="s">
        <v>2205</v>
      </c>
      <c r="B2383" s="31">
        <v>60.031199999999998</v>
      </c>
      <c r="C2383" s="32" t="s">
        <v>14054</v>
      </c>
      <c r="D2383" s="31" t="s">
        <v>14007</v>
      </c>
      <c r="E2383" s="40" t="s">
        <v>14055</v>
      </c>
      <c r="F2383" s="31" t="s">
        <v>9732</v>
      </c>
      <c r="G2383" s="34" t="s">
        <v>9735</v>
      </c>
      <c r="I2383" s="35" t="s">
        <v>14031</v>
      </c>
      <c r="J2383" s="36" t="s">
        <v>2205</v>
      </c>
    </row>
    <row r="2384" spans="1:10" x14ac:dyDescent="0.25">
      <c r="A2384" s="31" t="s">
        <v>2206</v>
      </c>
      <c r="B2384" s="31">
        <v>60.031300000000002</v>
      </c>
      <c r="C2384" s="32" t="s">
        <v>14056</v>
      </c>
      <c r="D2384" s="31" t="s">
        <v>14007</v>
      </c>
      <c r="E2384" s="40" t="s">
        <v>14057</v>
      </c>
      <c r="F2384" s="31" t="s">
        <v>9732</v>
      </c>
      <c r="G2384" s="34" t="s">
        <v>9735</v>
      </c>
      <c r="I2384" s="35" t="s">
        <v>14031</v>
      </c>
      <c r="J2384" s="36" t="s">
        <v>2206</v>
      </c>
    </row>
    <row r="2385" spans="1:10" x14ac:dyDescent="0.25">
      <c r="A2385" s="31" t="s">
        <v>2207</v>
      </c>
      <c r="B2385" s="31">
        <v>60.031399999999998</v>
      </c>
      <c r="C2385" s="32" t="s">
        <v>14058</v>
      </c>
      <c r="D2385" s="31" t="s">
        <v>14007</v>
      </c>
      <c r="E2385" s="40" t="s">
        <v>14059</v>
      </c>
      <c r="F2385" s="31" t="s">
        <v>9732</v>
      </c>
      <c r="G2385" s="34" t="s">
        <v>9735</v>
      </c>
      <c r="I2385" s="35" t="s">
        <v>14031</v>
      </c>
      <c r="J2385" s="36" t="s">
        <v>2207</v>
      </c>
    </row>
    <row r="2386" spans="1:10" x14ac:dyDescent="0.25">
      <c r="A2386" s="31" t="s">
        <v>2208</v>
      </c>
      <c r="B2386" s="31">
        <v>60.031500000000001</v>
      </c>
      <c r="C2386" s="32" t="s">
        <v>14060</v>
      </c>
      <c r="D2386" s="31" t="s">
        <v>14007</v>
      </c>
      <c r="E2386" s="40" t="s">
        <v>14061</v>
      </c>
      <c r="F2386" s="31" t="s">
        <v>9732</v>
      </c>
      <c r="G2386" s="34" t="s">
        <v>9735</v>
      </c>
      <c r="I2386" s="35" t="s">
        <v>14031</v>
      </c>
      <c r="J2386" s="36" t="s">
        <v>2208</v>
      </c>
    </row>
    <row r="2387" spans="1:10" x14ac:dyDescent="0.25">
      <c r="A2387" s="31" t="s">
        <v>2209</v>
      </c>
      <c r="B2387" s="31">
        <v>60.031599999999997</v>
      </c>
      <c r="C2387" s="32" t="s">
        <v>14062</v>
      </c>
      <c r="D2387" s="31" t="s">
        <v>14007</v>
      </c>
      <c r="E2387" s="40" t="s">
        <v>14063</v>
      </c>
      <c r="F2387" s="31" t="s">
        <v>9732</v>
      </c>
      <c r="G2387" s="34" t="s">
        <v>9735</v>
      </c>
      <c r="I2387" s="35" t="s">
        <v>14031</v>
      </c>
      <c r="J2387" s="36" t="s">
        <v>2209</v>
      </c>
    </row>
    <row r="2388" spans="1:10" x14ac:dyDescent="0.25">
      <c r="A2388" s="31" t="s">
        <v>2210</v>
      </c>
      <c r="B2388" s="31">
        <v>60.031700000000001</v>
      </c>
      <c r="C2388" s="32" t="s">
        <v>14064</v>
      </c>
      <c r="D2388" s="31" t="s">
        <v>14007</v>
      </c>
      <c r="E2388" s="40" t="s">
        <v>14065</v>
      </c>
      <c r="F2388" s="31" t="s">
        <v>9732</v>
      </c>
      <c r="G2388" s="34" t="s">
        <v>9735</v>
      </c>
      <c r="I2388" s="35" t="s">
        <v>14031</v>
      </c>
      <c r="J2388" s="36" t="s">
        <v>2210</v>
      </c>
    </row>
    <row r="2389" spans="1:10" x14ac:dyDescent="0.25">
      <c r="A2389" s="31" t="s">
        <v>2211</v>
      </c>
      <c r="B2389" s="31">
        <v>60.031799999999997</v>
      </c>
      <c r="C2389" s="32" t="s">
        <v>14066</v>
      </c>
      <c r="D2389" s="31" t="s">
        <v>14007</v>
      </c>
      <c r="E2389" s="40" t="s">
        <v>14067</v>
      </c>
      <c r="F2389" s="31" t="s">
        <v>9732</v>
      </c>
      <c r="G2389" s="34" t="s">
        <v>9735</v>
      </c>
      <c r="I2389" s="35" t="s">
        <v>14031</v>
      </c>
      <c r="J2389" s="36" t="s">
        <v>2211</v>
      </c>
    </row>
    <row r="2390" spans="1:10" x14ac:dyDescent="0.25">
      <c r="A2390" s="31" t="s">
        <v>2212</v>
      </c>
      <c r="B2390" s="31">
        <v>60.0319</v>
      </c>
      <c r="C2390" s="32" t="s">
        <v>14068</v>
      </c>
      <c r="D2390" s="31" t="s">
        <v>14007</v>
      </c>
      <c r="E2390" s="40" t="s">
        <v>14069</v>
      </c>
      <c r="F2390" s="31" t="s">
        <v>9732</v>
      </c>
      <c r="G2390" s="34" t="s">
        <v>9735</v>
      </c>
      <c r="I2390" s="35" t="s">
        <v>14031</v>
      </c>
      <c r="J2390" s="36" t="s">
        <v>2212</v>
      </c>
    </row>
    <row r="2391" spans="1:10" x14ac:dyDescent="0.25">
      <c r="A2391" s="31" t="s">
        <v>2213</v>
      </c>
      <c r="B2391" s="31">
        <v>60.031999999999996</v>
      </c>
      <c r="C2391" s="32" t="s">
        <v>14070</v>
      </c>
      <c r="D2391" s="31" t="s">
        <v>14007</v>
      </c>
      <c r="E2391" s="40" t="s">
        <v>14071</v>
      </c>
      <c r="F2391" s="31" t="s">
        <v>9732</v>
      </c>
      <c r="G2391" s="34" t="s">
        <v>9735</v>
      </c>
      <c r="I2391" s="35" t="s">
        <v>14031</v>
      </c>
      <c r="J2391" s="36" t="s">
        <v>2213</v>
      </c>
    </row>
    <row r="2392" spans="1:10" x14ac:dyDescent="0.25">
      <c r="A2392" s="31" t="s">
        <v>2214</v>
      </c>
      <c r="B2392" s="31">
        <v>60.039900000000003</v>
      </c>
      <c r="C2392" s="32" t="s">
        <v>14072</v>
      </c>
      <c r="D2392" s="31" t="s">
        <v>14007</v>
      </c>
      <c r="E2392" s="40" t="s">
        <v>14073</v>
      </c>
      <c r="F2392" s="31" t="s">
        <v>9732</v>
      </c>
      <c r="G2392" s="34" t="s">
        <v>9735</v>
      </c>
      <c r="I2392" s="35" t="s">
        <v>14031</v>
      </c>
      <c r="J2392" s="36" t="s">
        <v>2214</v>
      </c>
    </row>
    <row r="2393" spans="1:10" x14ac:dyDescent="0.25">
      <c r="A2393" s="31" t="s">
        <v>2215</v>
      </c>
      <c r="B2393" s="31">
        <v>60.04</v>
      </c>
      <c r="C2393" s="32" t="s">
        <v>14074</v>
      </c>
      <c r="D2393" s="31" t="s">
        <v>14007</v>
      </c>
      <c r="E2393" s="40" t="s">
        <v>9736</v>
      </c>
      <c r="F2393" s="31" t="s">
        <v>9732</v>
      </c>
      <c r="G2393" s="34" t="s">
        <v>9736</v>
      </c>
      <c r="H2393" s="34" t="s">
        <v>9736</v>
      </c>
      <c r="I2393" s="35" t="s">
        <v>14074</v>
      </c>
      <c r="J2393" s="36" t="s">
        <v>2215</v>
      </c>
    </row>
    <row r="2394" spans="1:10" x14ac:dyDescent="0.25">
      <c r="A2394" s="31" t="s">
        <v>2216</v>
      </c>
      <c r="B2394" s="31">
        <v>60.040100000000002</v>
      </c>
      <c r="C2394" s="32" t="s">
        <v>14075</v>
      </c>
      <c r="D2394" s="31" t="s">
        <v>14007</v>
      </c>
      <c r="E2394" s="40" t="s">
        <v>14076</v>
      </c>
      <c r="F2394" s="31" t="s">
        <v>9732</v>
      </c>
      <c r="G2394" s="34" t="s">
        <v>9736</v>
      </c>
      <c r="I2394" s="35" t="s">
        <v>14074</v>
      </c>
      <c r="J2394" s="36" t="s">
        <v>2216</v>
      </c>
    </row>
    <row r="2395" spans="1:10" x14ac:dyDescent="0.25">
      <c r="A2395" s="31" t="s">
        <v>2217</v>
      </c>
      <c r="B2395" s="31">
        <v>60.040199999999999</v>
      </c>
      <c r="C2395" s="32" t="s">
        <v>14077</v>
      </c>
      <c r="D2395" s="31" t="s">
        <v>14007</v>
      </c>
      <c r="E2395" s="40" t="s">
        <v>14078</v>
      </c>
      <c r="F2395" s="31" t="s">
        <v>9732</v>
      </c>
      <c r="G2395" s="34" t="s">
        <v>9736</v>
      </c>
      <c r="I2395" s="35" t="s">
        <v>14074</v>
      </c>
      <c r="J2395" s="36" t="s">
        <v>2217</v>
      </c>
    </row>
    <row r="2396" spans="1:10" x14ac:dyDescent="0.25">
      <c r="A2396" s="31" t="s">
        <v>2218</v>
      </c>
      <c r="B2396" s="31">
        <v>60.040300000000002</v>
      </c>
      <c r="C2396" s="32" t="s">
        <v>14079</v>
      </c>
      <c r="D2396" s="31" t="s">
        <v>14007</v>
      </c>
      <c r="E2396" s="40" t="s">
        <v>14080</v>
      </c>
      <c r="F2396" s="31" t="s">
        <v>9732</v>
      </c>
      <c r="G2396" s="34" t="s">
        <v>9736</v>
      </c>
      <c r="I2396" s="35" t="s">
        <v>14074</v>
      </c>
      <c r="J2396" s="36" t="s">
        <v>2218</v>
      </c>
    </row>
    <row r="2397" spans="1:10" x14ac:dyDescent="0.25">
      <c r="A2397" s="31" t="s">
        <v>2219</v>
      </c>
      <c r="B2397" s="31">
        <v>60.040399999999998</v>
      </c>
      <c r="C2397" s="32" t="s">
        <v>14081</v>
      </c>
      <c r="D2397" s="31" t="s">
        <v>14007</v>
      </c>
      <c r="E2397" s="40" t="s">
        <v>14082</v>
      </c>
      <c r="F2397" s="31" t="s">
        <v>9732</v>
      </c>
      <c r="G2397" s="34" t="s">
        <v>9736</v>
      </c>
      <c r="I2397" s="35" t="s">
        <v>14074</v>
      </c>
      <c r="J2397" s="36" t="s">
        <v>2219</v>
      </c>
    </row>
    <row r="2398" spans="1:10" x14ac:dyDescent="0.25">
      <c r="A2398" s="31" t="s">
        <v>2220</v>
      </c>
      <c r="B2398" s="31">
        <v>60.040500000000002</v>
      </c>
      <c r="C2398" s="32" t="s">
        <v>14083</v>
      </c>
      <c r="D2398" s="31" t="s">
        <v>14007</v>
      </c>
      <c r="E2398" s="40" t="s">
        <v>14084</v>
      </c>
      <c r="F2398" s="31" t="s">
        <v>9732</v>
      </c>
      <c r="G2398" s="34" t="s">
        <v>9736</v>
      </c>
      <c r="I2398" s="35" t="s">
        <v>14074</v>
      </c>
      <c r="J2398" s="36" t="s">
        <v>2220</v>
      </c>
    </row>
    <row r="2399" spans="1:10" x14ac:dyDescent="0.25">
      <c r="A2399" s="31" t="s">
        <v>2221</v>
      </c>
      <c r="B2399" s="31">
        <v>60.040599999999998</v>
      </c>
      <c r="C2399" s="32" t="s">
        <v>14085</v>
      </c>
      <c r="D2399" s="31" t="s">
        <v>14007</v>
      </c>
      <c r="E2399" s="40" t="s">
        <v>14086</v>
      </c>
      <c r="F2399" s="31" t="s">
        <v>9732</v>
      </c>
      <c r="G2399" s="34" t="s">
        <v>9736</v>
      </c>
      <c r="I2399" s="35" t="s">
        <v>14074</v>
      </c>
      <c r="J2399" s="36" t="s">
        <v>2221</v>
      </c>
    </row>
    <row r="2400" spans="1:10" x14ac:dyDescent="0.25">
      <c r="A2400" s="31" t="s">
        <v>2222</v>
      </c>
      <c r="B2400" s="31">
        <v>60.040700000000001</v>
      </c>
      <c r="C2400" s="32" t="s">
        <v>14087</v>
      </c>
      <c r="D2400" s="31" t="s">
        <v>14007</v>
      </c>
      <c r="E2400" s="40" t="s">
        <v>14088</v>
      </c>
      <c r="F2400" s="31" t="s">
        <v>9732</v>
      </c>
      <c r="G2400" s="34" t="s">
        <v>9736</v>
      </c>
      <c r="I2400" s="35" t="s">
        <v>14074</v>
      </c>
      <c r="J2400" s="36" t="s">
        <v>2222</v>
      </c>
    </row>
    <row r="2401" spans="1:10" x14ac:dyDescent="0.25">
      <c r="A2401" s="31" t="s">
        <v>2223</v>
      </c>
      <c r="B2401" s="31">
        <v>60.040799999999997</v>
      </c>
      <c r="C2401" s="32" t="s">
        <v>14089</v>
      </c>
      <c r="D2401" s="31" t="s">
        <v>14007</v>
      </c>
      <c r="E2401" s="40" t="s">
        <v>14090</v>
      </c>
      <c r="F2401" s="31" t="s">
        <v>9732</v>
      </c>
      <c r="G2401" s="34" t="s">
        <v>9736</v>
      </c>
      <c r="I2401" s="35" t="s">
        <v>14074</v>
      </c>
      <c r="J2401" s="36" t="s">
        <v>2223</v>
      </c>
    </row>
    <row r="2402" spans="1:10" x14ac:dyDescent="0.25">
      <c r="A2402" s="31" t="s">
        <v>2224</v>
      </c>
      <c r="B2402" s="31">
        <v>60.040900000000001</v>
      </c>
      <c r="C2402" s="32" t="s">
        <v>14091</v>
      </c>
      <c r="D2402" s="31" t="s">
        <v>14007</v>
      </c>
      <c r="E2402" s="40" t="s">
        <v>14092</v>
      </c>
      <c r="F2402" s="31" t="s">
        <v>9732</v>
      </c>
      <c r="G2402" s="34" t="s">
        <v>9736</v>
      </c>
      <c r="I2402" s="35" t="s">
        <v>14074</v>
      </c>
      <c r="J2402" s="36" t="s">
        <v>2224</v>
      </c>
    </row>
    <row r="2403" spans="1:10" x14ac:dyDescent="0.25">
      <c r="A2403" s="31" t="s">
        <v>2225</v>
      </c>
      <c r="B2403" s="31">
        <v>60.040999999999997</v>
      </c>
      <c r="C2403" s="32" t="s">
        <v>14093</v>
      </c>
      <c r="D2403" s="31" t="s">
        <v>14007</v>
      </c>
      <c r="E2403" s="40" t="s">
        <v>14094</v>
      </c>
      <c r="F2403" s="31" t="s">
        <v>9732</v>
      </c>
      <c r="G2403" s="34" t="s">
        <v>9736</v>
      </c>
      <c r="I2403" s="35" t="s">
        <v>14074</v>
      </c>
      <c r="J2403" s="36" t="s">
        <v>2225</v>
      </c>
    </row>
    <row r="2404" spans="1:10" x14ac:dyDescent="0.25">
      <c r="A2404" s="31" t="s">
        <v>2226</v>
      </c>
      <c r="B2404" s="31">
        <v>60.0411</v>
      </c>
      <c r="C2404" s="32" t="s">
        <v>14095</v>
      </c>
      <c r="D2404" s="31" t="s">
        <v>14007</v>
      </c>
      <c r="E2404" s="40" t="s">
        <v>14096</v>
      </c>
      <c r="F2404" s="31" t="s">
        <v>9732</v>
      </c>
      <c r="G2404" s="34" t="s">
        <v>9736</v>
      </c>
      <c r="I2404" s="35" t="s">
        <v>14074</v>
      </c>
      <c r="J2404" s="36" t="s">
        <v>2226</v>
      </c>
    </row>
    <row r="2405" spans="1:10" x14ac:dyDescent="0.25">
      <c r="A2405" s="31" t="s">
        <v>2227</v>
      </c>
      <c r="B2405" s="31">
        <v>60.041200000000003</v>
      </c>
      <c r="C2405" s="32" t="s">
        <v>14097</v>
      </c>
      <c r="D2405" s="31" t="s">
        <v>14007</v>
      </c>
      <c r="E2405" s="40" t="s">
        <v>14098</v>
      </c>
      <c r="F2405" s="31" t="s">
        <v>9732</v>
      </c>
      <c r="G2405" s="34" t="s">
        <v>9736</v>
      </c>
      <c r="I2405" s="35" t="s">
        <v>14074</v>
      </c>
      <c r="J2405" s="36" t="s">
        <v>2227</v>
      </c>
    </row>
    <row r="2406" spans="1:10" x14ac:dyDescent="0.25">
      <c r="A2406" s="31" t="s">
        <v>2228</v>
      </c>
      <c r="B2406" s="31">
        <v>60.0413</v>
      </c>
      <c r="C2406" s="32" t="s">
        <v>14099</v>
      </c>
      <c r="D2406" s="31" t="s">
        <v>14007</v>
      </c>
      <c r="E2406" s="40" t="s">
        <v>14100</v>
      </c>
      <c r="F2406" s="31" t="s">
        <v>9732</v>
      </c>
      <c r="G2406" s="34" t="s">
        <v>9736</v>
      </c>
      <c r="I2406" s="35" t="s">
        <v>14074</v>
      </c>
      <c r="J2406" s="36" t="s">
        <v>2228</v>
      </c>
    </row>
    <row r="2407" spans="1:10" x14ac:dyDescent="0.25">
      <c r="A2407" s="31" t="s">
        <v>2229</v>
      </c>
      <c r="B2407" s="31">
        <v>60.041400000000003</v>
      </c>
      <c r="C2407" s="32" t="s">
        <v>14101</v>
      </c>
      <c r="D2407" s="31" t="s">
        <v>14007</v>
      </c>
      <c r="E2407" s="40" t="s">
        <v>14102</v>
      </c>
      <c r="F2407" s="31" t="s">
        <v>9732</v>
      </c>
      <c r="G2407" s="34" t="s">
        <v>9736</v>
      </c>
      <c r="I2407" s="35" t="s">
        <v>14074</v>
      </c>
      <c r="J2407" s="36" t="s">
        <v>2229</v>
      </c>
    </row>
    <row r="2408" spans="1:10" x14ac:dyDescent="0.25">
      <c r="A2408" s="31" t="s">
        <v>2230</v>
      </c>
      <c r="B2408" s="31">
        <v>60.041499999999999</v>
      </c>
      <c r="C2408" s="32" t="s">
        <v>14103</v>
      </c>
      <c r="D2408" s="31" t="s">
        <v>14007</v>
      </c>
      <c r="E2408" s="40" t="s">
        <v>14104</v>
      </c>
      <c r="F2408" s="31" t="s">
        <v>9732</v>
      </c>
      <c r="G2408" s="34" t="s">
        <v>9736</v>
      </c>
      <c r="I2408" s="35" t="s">
        <v>14074</v>
      </c>
      <c r="J2408" s="36" t="s">
        <v>2230</v>
      </c>
    </row>
    <row r="2409" spans="1:10" x14ac:dyDescent="0.25">
      <c r="A2409" s="31" t="s">
        <v>2231</v>
      </c>
      <c r="B2409" s="31">
        <v>60.041600000000003</v>
      </c>
      <c r="C2409" s="32" t="s">
        <v>14105</v>
      </c>
      <c r="D2409" s="31" t="s">
        <v>14007</v>
      </c>
      <c r="E2409" s="40" t="s">
        <v>14106</v>
      </c>
      <c r="F2409" s="31" t="s">
        <v>9732</v>
      </c>
      <c r="G2409" s="34" t="s">
        <v>9736</v>
      </c>
      <c r="I2409" s="35" t="s">
        <v>14074</v>
      </c>
      <c r="J2409" s="36" t="s">
        <v>2231</v>
      </c>
    </row>
    <row r="2410" spans="1:10" x14ac:dyDescent="0.25">
      <c r="A2410" s="31" t="s">
        <v>2232</v>
      </c>
      <c r="B2410" s="31">
        <v>60.041699999999999</v>
      </c>
      <c r="C2410" s="32" t="s">
        <v>14107</v>
      </c>
      <c r="D2410" s="31" t="s">
        <v>14007</v>
      </c>
      <c r="E2410" s="40" t="s">
        <v>14108</v>
      </c>
      <c r="F2410" s="31" t="s">
        <v>9732</v>
      </c>
      <c r="G2410" s="34" t="s">
        <v>9736</v>
      </c>
      <c r="I2410" s="35" t="s">
        <v>14074</v>
      </c>
      <c r="J2410" s="36" t="s">
        <v>2232</v>
      </c>
    </row>
    <row r="2411" spans="1:10" x14ac:dyDescent="0.25">
      <c r="A2411" s="31" t="s">
        <v>2233</v>
      </c>
      <c r="B2411" s="31">
        <v>60.041800000000002</v>
      </c>
      <c r="C2411" s="32" t="s">
        <v>14109</v>
      </c>
      <c r="D2411" s="31" t="s">
        <v>14007</v>
      </c>
      <c r="E2411" s="40" t="s">
        <v>14110</v>
      </c>
      <c r="F2411" s="31" t="s">
        <v>9732</v>
      </c>
      <c r="G2411" s="34" t="s">
        <v>9736</v>
      </c>
      <c r="I2411" s="35" t="s">
        <v>14074</v>
      </c>
      <c r="J2411" s="36" t="s">
        <v>2233</v>
      </c>
    </row>
    <row r="2412" spans="1:10" x14ac:dyDescent="0.25">
      <c r="A2412" s="31" t="s">
        <v>2234</v>
      </c>
      <c r="B2412" s="31">
        <v>60.041899999999998</v>
      </c>
      <c r="C2412" s="32" t="s">
        <v>14111</v>
      </c>
      <c r="D2412" s="31" t="s">
        <v>14007</v>
      </c>
      <c r="E2412" s="40" t="s">
        <v>14112</v>
      </c>
      <c r="F2412" s="31" t="s">
        <v>9732</v>
      </c>
      <c r="G2412" s="34" t="s">
        <v>9736</v>
      </c>
      <c r="I2412" s="35" t="s">
        <v>14074</v>
      </c>
      <c r="J2412" s="36" t="s">
        <v>2234</v>
      </c>
    </row>
    <row r="2413" spans="1:10" x14ac:dyDescent="0.25">
      <c r="A2413" s="31" t="s">
        <v>2235</v>
      </c>
      <c r="B2413" s="31">
        <v>60.042000000000002</v>
      </c>
      <c r="C2413" s="32" t="s">
        <v>14113</v>
      </c>
      <c r="D2413" s="31" t="s">
        <v>14007</v>
      </c>
      <c r="E2413" s="40" t="s">
        <v>14114</v>
      </c>
      <c r="F2413" s="31" t="s">
        <v>9732</v>
      </c>
      <c r="G2413" s="34" t="s">
        <v>9736</v>
      </c>
      <c r="I2413" s="35" t="s">
        <v>14074</v>
      </c>
      <c r="J2413" s="36" t="s">
        <v>2235</v>
      </c>
    </row>
    <row r="2414" spans="1:10" x14ac:dyDescent="0.25">
      <c r="A2414" s="31" t="s">
        <v>2236</v>
      </c>
      <c r="B2414" s="31">
        <v>60.042099999999998</v>
      </c>
      <c r="C2414" s="32" t="s">
        <v>14115</v>
      </c>
      <c r="D2414" s="31" t="s">
        <v>14007</v>
      </c>
      <c r="E2414" s="40" t="s">
        <v>14116</v>
      </c>
      <c r="F2414" s="31" t="s">
        <v>9732</v>
      </c>
      <c r="G2414" s="34" t="s">
        <v>9736</v>
      </c>
      <c r="I2414" s="35" t="s">
        <v>14074</v>
      </c>
      <c r="J2414" s="36" t="s">
        <v>2236</v>
      </c>
    </row>
    <row r="2415" spans="1:10" x14ac:dyDescent="0.25">
      <c r="A2415" s="31" t="s">
        <v>2237</v>
      </c>
      <c r="B2415" s="31">
        <v>60.042200000000001</v>
      </c>
      <c r="C2415" s="32" t="s">
        <v>14117</v>
      </c>
      <c r="D2415" s="31" t="s">
        <v>14007</v>
      </c>
      <c r="E2415" s="40" t="s">
        <v>14118</v>
      </c>
      <c r="F2415" s="31" t="s">
        <v>9732</v>
      </c>
      <c r="G2415" s="34" t="s">
        <v>9736</v>
      </c>
      <c r="I2415" s="35" t="s">
        <v>14074</v>
      </c>
      <c r="J2415" s="36" t="s">
        <v>2237</v>
      </c>
    </row>
    <row r="2416" spans="1:10" x14ac:dyDescent="0.25">
      <c r="A2416" s="31" t="s">
        <v>2238</v>
      </c>
      <c r="B2416" s="31">
        <v>60.042299999999997</v>
      </c>
      <c r="C2416" s="32" t="s">
        <v>14119</v>
      </c>
      <c r="D2416" s="31" t="s">
        <v>14007</v>
      </c>
      <c r="E2416" s="40" t="s">
        <v>14120</v>
      </c>
      <c r="F2416" s="31" t="s">
        <v>9732</v>
      </c>
      <c r="G2416" s="34" t="s">
        <v>9736</v>
      </c>
      <c r="I2416" s="35" t="s">
        <v>14074</v>
      </c>
      <c r="J2416" s="36" t="s">
        <v>2238</v>
      </c>
    </row>
    <row r="2417" spans="1:10" x14ac:dyDescent="0.25">
      <c r="A2417" s="31" t="s">
        <v>2239</v>
      </c>
      <c r="B2417" s="31">
        <v>60.042400000000001</v>
      </c>
      <c r="C2417" s="32" t="s">
        <v>14121</v>
      </c>
      <c r="D2417" s="31" t="s">
        <v>14007</v>
      </c>
      <c r="E2417" s="40" t="s">
        <v>14122</v>
      </c>
      <c r="F2417" s="31" t="s">
        <v>9732</v>
      </c>
      <c r="G2417" s="34" t="s">
        <v>9736</v>
      </c>
      <c r="I2417" s="35" t="s">
        <v>14074</v>
      </c>
      <c r="J2417" s="36" t="s">
        <v>2239</v>
      </c>
    </row>
    <row r="2418" spans="1:10" x14ac:dyDescent="0.25">
      <c r="A2418" s="31" t="s">
        <v>2240</v>
      </c>
      <c r="B2418" s="31">
        <v>60.042499999999997</v>
      </c>
      <c r="C2418" s="32" t="s">
        <v>14123</v>
      </c>
      <c r="D2418" s="31" t="s">
        <v>14007</v>
      </c>
      <c r="E2418" s="40" t="s">
        <v>14124</v>
      </c>
      <c r="F2418" s="31" t="s">
        <v>9732</v>
      </c>
      <c r="G2418" s="34" t="s">
        <v>9736</v>
      </c>
      <c r="I2418" s="35" t="s">
        <v>14074</v>
      </c>
      <c r="J2418" s="36" t="s">
        <v>2240</v>
      </c>
    </row>
    <row r="2419" spans="1:10" x14ac:dyDescent="0.25">
      <c r="A2419" s="31" t="s">
        <v>2241</v>
      </c>
      <c r="B2419" s="31">
        <v>60.0426</v>
      </c>
      <c r="C2419" s="32" t="s">
        <v>14125</v>
      </c>
      <c r="D2419" s="31" t="s">
        <v>14007</v>
      </c>
      <c r="E2419" s="40" t="s">
        <v>14126</v>
      </c>
      <c r="F2419" s="31" t="s">
        <v>9732</v>
      </c>
      <c r="G2419" s="34" t="s">
        <v>9736</v>
      </c>
      <c r="I2419" s="35" t="s">
        <v>14074</v>
      </c>
      <c r="J2419" s="36" t="s">
        <v>2241</v>
      </c>
    </row>
    <row r="2420" spans="1:10" x14ac:dyDescent="0.25">
      <c r="A2420" s="31" t="s">
        <v>2242</v>
      </c>
      <c r="B2420" s="31">
        <v>60.042700000000004</v>
      </c>
      <c r="C2420" s="32" t="s">
        <v>14127</v>
      </c>
      <c r="D2420" s="31" t="s">
        <v>14007</v>
      </c>
      <c r="E2420" s="40" t="s">
        <v>14128</v>
      </c>
      <c r="F2420" s="31" t="s">
        <v>9732</v>
      </c>
      <c r="G2420" s="34" t="s">
        <v>9736</v>
      </c>
      <c r="I2420" s="35" t="s">
        <v>14074</v>
      </c>
      <c r="J2420" s="36" t="s">
        <v>2242</v>
      </c>
    </row>
    <row r="2421" spans="1:10" x14ac:dyDescent="0.25">
      <c r="A2421" s="31" t="s">
        <v>2243</v>
      </c>
      <c r="B2421" s="31">
        <v>60.0428</v>
      </c>
      <c r="C2421" s="32" t="s">
        <v>14129</v>
      </c>
      <c r="D2421" s="31" t="s">
        <v>14007</v>
      </c>
      <c r="E2421" s="40" t="s">
        <v>14130</v>
      </c>
      <c r="F2421" s="31" t="s">
        <v>9732</v>
      </c>
      <c r="G2421" s="34" t="s">
        <v>9736</v>
      </c>
      <c r="I2421" s="35" t="s">
        <v>14074</v>
      </c>
      <c r="J2421" s="36" t="s">
        <v>2243</v>
      </c>
    </row>
    <row r="2422" spans="1:10" x14ac:dyDescent="0.25">
      <c r="A2422" s="31" t="s">
        <v>2244</v>
      </c>
      <c r="B2422" s="31">
        <v>60.042900000000003</v>
      </c>
      <c r="C2422" s="32" t="s">
        <v>14131</v>
      </c>
      <c r="D2422" s="31" t="s">
        <v>14007</v>
      </c>
      <c r="E2422" s="40" t="s">
        <v>14132</v>
      </c>
      <c r="F2422" s="31" t="s">
        <v>9732</v>
      </c>
      <c r="G2422" s="34" t="s">
        <v>9736</v>
      </c>
      <c r="I2422" s="35" t="s">
        <v>14074</v>
      </c>
      <c r="J2422" s="36" t="s">
        <v>2244</v>
      </c>
    </row>
    <row r="2423" spans="1:10" x14ac:dyDescent="0.25">
      <c r="A2423" s="31" t="s">
        <v>2245</v>
      </c>
      <c r="B2423" s="31">
        <v>60.042999999999999</v>
      </c>
      <c r="C2423" s="32" t="s">
        <v>14133</v>
      </c>
      <c r="D2423" s="31" t="s">
        <v>14007</v>
      </c>
      <c r="E2423" s="40" t="s">
        <v>14134</v>
      </c>
      <c r="F2423" s="31" t="s">
        <v>9732</v>
      </c>
      <c r="G2423" s="34" t="s">
        <v>9736</v>
      </c>
      <c r="I2423" s="35" t="s">
        <v>14074</v>
      </c>
      <c r="J2423" s="36" t="s">
        <v>2245</v>
      </c>
    </row>
    <row r="2424" spans="1:10" x14ac:dyDescent="0.25">
      <c r="A2424" s="31" t="s">
        <v>2246</v>
      </c>
      <c r="B2424" s="31">
        <v>60.043100000000003</v>
      </c>
      <c r="C2424" s="32" t="s">
        <v>14135</v>
      </c>
      <c r="D2424" s="31" t="s">
        <v>14007</v>
      </c>
      <c r="E2424" s="40" t="s">
        <v>14136</v>
      </c>
      <c r="F2424" s="31" t="s">
        <v>9732</v>
      </c>
      <c r="G2424" s="34" t="s">
        <v>9736</v>
      </c>
      <c r="I2424" s="35" t="s">
        <v>14074</v>
      </c>
      <c r="J2424" s="36" t="s">
        <v>2246</v>
      </c>
    </row>
    <row r="2425" spans="1:10" x14ac:dyDescent="0.25">
      <c r="A2425" s="31" t="s">
        <v>2247</v>
      </c>
      <c r="B2425" s="31">
        <v>60.043199999999999</v>
      </c>
      <c r="C2425" s="32" t="s">
        <v>14137</v>
      </c>
      <c r="D2425" s="31" t="s">
        <v>14007</v>
      </c>
      <c r="E2425" s="40" t="s">
        <v>14138</v>
      </c>
      <c r="F2425" s="31" t="s">
        <v>9732</v>
      </c>
      <c r="G2425" s="34" t="s">
        <v>9736</v>
      </c>
      <c r="I2425" s="35" t="s">
        <v>14074</v>
      </c>
      <c r="J2425" s="36" t="s">
        <v>2247</v>
      </c>
    </row>
    <row r="2426" spans="1:10" x14ac:dyDescent="0.25">
      <c r="A2426" s="31" t="s">
        <v>2248</v>
      </c>
      <c r="B2426" s="31">
        <v>60.043300000000002</v>
      </c>
      <c r="C2426" s="32" t="s">
        <v>14139</v>
      </c>
      <c r="D2426" s="31" t="s">
        <v>14007</v>
      </c>
      <c r="E2426" s="40" t="s">
        <v>14140</v>
      </c>
      <c r="F2426" s="31" t="s">
        <v>9732</v>
      </c>
      <c r="G2426" s="34" t="s">
        <v>9736</v>
      </c>
      <c r="I2426" s="35" t="s">
        <v>14074</v>
      </c>
      <c r="J2426" s="36" t="s">
        <v>2248</v>
      </c>
    </row>
    <row r="2427" spans="1:10" x14ac:dyDescent="0.25">
      <c r="A2427" s="31" t="s">
        <v>2249</v>
      </c>
      <c r="B2427" s="31">
        <v>60.043399999999998</v>
      </c>
      <c r="C2427" s="32" t="s">
        <v>14141</v>
      </c>
      <c r="D2427" s="31" t="s">
        <v>14007</v>
      </c>
      <c r="E2427" s="40" t="s">
        <v>14142</v>
      </c>
      <c r="F2427" s="31" t="s">
        <v>9732</v>
      </c>
      <c r="G2427" s="34" t="s">
        <v>9736</v>
      </c>
      <c r="I2427" s="35" t="s">
        <v>14074</v>
      </c>
      <c r="J2427" s="36" t="s">
        <v>2249</v>
      </c>
    </row>
    <row r="2428" spans="1:10" x14ac:dyDescent="0.25">
      <c r="A2428" s="31" t="s">
        <v>2250</v>
      </c>
      <c r="B2428" s="31">
        <v>60.049900000000001</v>
      </c>
      <c r="C2428" s="32" t="s">
        <v>14143</v>
      </c>
      <c r="D2428" s="31" t="s">
        <v>14007</v>
      </c>
      <c r="E2428" s="40" t="s">
        <v>14144</v>
      </c>
      <c r="F2428" s="31" t="s">
        <v>9732</v>
      </c>
      <c r="G2428" s="34" t="s">
        <v>9736</v>
      </c>
      <c r="I2428" s="35" t="s">
        <v>14074</v>
      </c>
      <c r="J2428" s="36" t="s">
        <v>2250</v>
      </c>
    </row>
    <row r="2429" spans="1:10" x14ac:dyDescent="0.25">
      <c r="A2429" s="31" t="s">
        <v>2251</v>
      </c>
      <c r="B2429" s="31">
        <v>60.05</v>
      </c>
      <c r="C2429" s="32" t="s">
        <v>14145</v>
      </c>
      <c r="D2429" s="31" t="s">
        <v>14007</v>
      </c>
      <c r="E2429" s="40" t="s">
        <v>9737</v>
      </c>
      <c r="F2429" s="31" t="s">
        <v>9732</v>
      </c>
      <c r="G2429" s="34" t="s">
        <v>9737</v>
      </c>
      <c r="H2429" s="34" t="s">
        <v>9737</v>
      </c>
      <c r="I2429" s="35" t="s">
        <v>14145</v>
      </c>
      <c r="J2429" s="36" t="s">
        <v>2251</v>
      </c>
    </row>
    <row r="2430" spans="1:10" x14ac:dyDescent="0.25">
      <c r="A2430" s="31" t="s">
        <v>2252</v>
      </c>
      <c r="B2430" s="31">
        <v>60.0501</v>
      </c>
      <c r="C2430" s="32" t="s">
        <v>14146</v>
      </c>
      <c r="D2430" s="31" t="s">
        <v>14007</v>
      </c>
      <c r="E2430" s="40" t="s">
        <v>14147</v>
      </c>
      <c r="F2430" s="31" t="s">
        <v>9732</v>
      </c>
      <c r="G2430" s="34" t="s">
        <v>9737</v>
      </c>
      <c r="I2430" s="35" t="s">
        <v>14145</v>
      </c>
      <c r="J2430" s="36" t="s">
        <v>2252</v>
      </c>
    </row>
    <row r="2431" spans="1:10" x14ac:dyDescent="0.25">
      <c r="A2431" s="31" t="s">
        <v>2253</v>
      </c>
      <c r="B2431" s="31">
        <v>60.050199999999997</v>
      </c>
      <c r="C2431" s="32" t="s">
        <v>14148</v>
      </c>
      <c r="D2431" s="31" t="s">
        <v>14007</v>
      </c>
      <c r="E2431" s="40" t="s">
        <v>14149</v>
      </c>
      <c r="F2431" s="31" t="s">
        <v>9732</v>
      </c>
      <c r="G2431" s="34" t="s">
        <v>9737</v>
      </c>
      <c r="I2431" s="35" t="s">
        <v>14145</v>
      </c>
      <c r="J2431" s="36" t="s">
        <v>2253</v>
      </c>
    </row>
    <row r="2432" spans="1:10" x14ac:dyDescent="0.25">
      <c r="A2432" s="31" t="s">
        <v>2254</v>
      </c>
      <c r="B2432" s="31">
        <v>60.0503</v>
      </c>
      <c r="C2432" s="32" t="s">
        <v>14150</v>
      </c>
      <c r="D2432" s="31" t="s">
        <v>14007</v>
      </c>
      <c r="E2432" s="40" t="s">
        <v>14151</v>
      </c>
      <c r="F2432" s="31" t="s">
        <v>9732</v>
      </c>
      <c r="G2432" s="34" t="s">
        <v>9737</v>
      </c>
      <c r="I2432" s="35" t="s">
        <v>14145</v>
      </c>
      <c r="J2432" s="36" t="s">
        <v>2254</v>
      </c>
    </row>
    <row r="2433" spans="1:10" x14ac:dyDescent="0.25">
      <c r="A2433" s="31" t="s">
        <v>2255</v>
      </c>
      <c r="B2433" s="31">
        <v>60.050400000000003</v>
      </c>
      <c r="C2433" s="32" t="s">
        <v>14152</v>
      </c>
      <c r="D2433" s="31" t="s">
        <v>14007</v>
      </c>
      <c r="E2433" s="40" t="s">
        <v>14153</v>
      </c>
      <c r="F2433" s="31" t="s">
        <v>9732</v>
      </c>
      <c r="G2433" s="34" t="s">
        <v>9737</v>
      </c>
      <c r="I2433" s="35" t="s">
        <v>14145</v>
      </c>
      <c r="J2433" s="36" t="s">
        <v>2255</v>
      </c>
    </row>
    <row r="2434" spans="1:10" x14ac:dyDescent="0.25">
      <c r="A2434" s="31" t="s">
        <v>2256</v>
      </c>
      <c r="B2434" s="31">
        <v>60.0505</v>
      </c>
      <c r="C2434" s="32" t="s">
        <v>14154</v>
      </c>
      <c r="D2434" s="31" t="s">
        <v>14007</v>
      </c>
      <c r="E2434" s="40" t="s">
        <v>14155</v>
      </c>
      <c r="F2434" s="31" t="s">
        <v>9732</v>
      </c>
      <c r="G2434" s="34" t="s">
        <v>9737</v>
      </c>
      <c r="I2434" s="35" t="s">
        <v>14145</v>
      </c>
      <c r="J2434" s="36" t="s">
        <v>2256</v>
      </c>
    </row>
    <row r="2435" spans="1:10" x14ac:dyDescent="0.25">
      <c r="A2435" s="31" t="s">
        <v>2257</v>
      </c>
      <c r="B2435" s="31">
        <v>60.050600000000003</v>
      </c>
      <c r="C2435" s="32" t="s">
        <v>14156</v>
      </c>
      <c r="D2435" s="31" t="s">
        <v>14007</v>
      </c>
      <c r="E2435" s="40" t="s">
        <v>14157</v>
      </c>
      <c r="F2435" s="31" t="s">
        <v>9732</v>
      </c>
      <c r="G2435" s="34" t="s">
        <v>9737</v>
      </c>
      <c r="I2435" s="35" t="s">
        <v>14145</v>
      </c>
      <c r="J2435" s="36" t="s">
        <v>2257</v>
      </c>
    </row>
    <row r="2436" spans="1:10" x14ac:dyDescent="0.25">
      <c r="A2436" s="31" t="s">
        <v>2258</v>
      </c>
      <c r="B2436" s="31">
        <v>60.050699999999999</v>
      </c>
      <c r="C2436" s="32" t="s">
        <v>14158</v>
      </c>
      <c r="D2436" s="31" t="s">
        <v>14007</v>
      </c>
      <c r="E2436" s="40" t="s">
        <v>14159</v>
      </c>
      <c r="F2436" s="31" t="s">
        <v>9732</v>
      </c>
      <c r="G2436" s="34" t="s">
        <v>9737</v>
      </c>
      <c r="I2436" s="35" t="s">
        <v>14145</v>
      </c>
      <c r="J2436" s="36" t="s">
        <v>2258</v>
      </c>
    </row>
    <row r="2437" spans="1:10" x14ac:dyDescent="0.25">
      <c r="A2437" s="31" t="s">
        <v>2259</v>
      </c>
      <c r="B2437" s="31">
        <v>60.050800000000002</v>
      </c>
      <c r="C2437" s="32" t="s">
        <v>14160</v>
      </c>
      <c r="D2437" s="31" t="s">
        <v>14007</v>
      </c>
      <c r="E2437" s="40" t="s">
        <v>14161</v>
      </c>
      <c r="F2437" s="31" t="s">
        <v>9732</v>
      </c>
      <c r="G2437" s="34" t="s">
        <v>9737</v>
      </c>
      <c r="I2437" s="35" t="s">
        <v>14145</v>
      </c>
      <c r="J2437" s="36" t="s">
        <v>2259</v>
      </c>
    </row>
    <row r="2438" spans="1:10" x14ac:dyDescent="0.25">
      <c r="A2438" s="31" t="s">
        <v>2260</v>
      </c>
      <c r="B2438" s="31">
        <v>60.050899999999999</v>
      </c>
      <c r="C2438" s="32" t="s">
        <v>14162</v>
      </c>
      <c r="D2438" s="31" t="s">
        <v>14007</v>
      </c>
      <c r="E2438" s="40" t="s">
        <v>14163</v>
      </c>
      <c r="F2438" s="31" t="s">
        <v>9732</v>
      </c>
      <c r="G2438" s="34" t="s">
        <v>9737</v>
      </c>
      <c r="I2438" s="35" t="s">
        <v>14145</v>
      </c>
      <c r="J2438" s="36" t="s">
        <v>2260</v>
      </c>
    </row>
    <row r="2439" spans="1:10" x14ac:dyDescent="0.25">
      <c r="A2439" s="31" t="s">
        <v>2261</v>
      </c>
      <c r="B2439" s="31">
        <v>60.051000000000002</v>
      </c>
      <c r="C2439" s="32" t="s">
        <v>14164</v>
      </c>
      <c r="D2439" s="31" t="s">
        <v>14007</v>
      </c>
      <c r="E2439" s="40" t="s">
        <v>14165</v>
      </c>
      <c r="F2439" s="31" t="s">
        <v>9732</v>
      </c>
      <c r="G2439" s="34" t="s">
        <v>9737</v>
      </c>
      <c r="I2439" s="35" t="s">
        <v>14145</v>
      </c>
      <c r="J2439" s="36" t="s">
        <v>2261</v>
      </c>
    </row>
    <row r="2440" spans="1:10" x14ac:dyDescent="0.25">
      <c r="A2440" s="31" t="s">
        <v>2262</v>
      </c>
      <c r="B2440" s="31">
        <v>60.051099999999998</v>
      </c>
      <c r="C2440" s="32" t="s">
        <v>14166</v>
      </c>
      <c r="D2440" s="31" t="s">
        <v>14007</v>
      </c>
      <c r="E2440" s="40" t="s">
        <v>14167</v>
      </c>
      <c r="F2440" s="31" t="s">
        <v>9732</v>
      </c>
      <c r="G2440" s="34" t="s">
        <v>9737</v>
      </c>
      <c r="I2440" s="35" t="s">
        <v>14145</v>
      </c>
      <c r="J2440" s="36" t="s">
        <v>2262</v>
      </c>
    </row>
    <row r="2441" spans="1:10" x14ac:dyDescent="0.25">
      <c r="A2441" s="31" t="s">
        <v>2263</v>
      </c>
      <c r="B2441" s="31">
        <v>60.051200000000001</v>
      </c>
      <c r="C2441" s="32" t="s">
        <v>14168</v>
      </c>
      <c r="D2441" s="31" t="s">
        <v>14007</v>
      </c>
      <c r="E2441" s="40" t="s">
        <v>14169</v>
      </c>
      <c r="F2441" s="31" t="s">
        <v>9732</v>
      </c>
      <c r="G2441" s="34" t="s">
        <v>9737</v>
      </c>
      <c r="I2441" s="35" t="s">
        <v>14145</v>
      </c>
      <c r="J2441" s="36" t="s">
        <v>2263</v>
      </c>
    </row>
    <row r="2442" spans="1:10" x14ac:dyDescent="0.25">
      <c r="A2442" s="31" t="s">
        <v>2264</v>
      </c>
      <c r="B2442" s="31">
        <v>60.051299999999998</v>
      </c>
      <c r="C2442" s="32" t="s">
        <v>14170</v>
      </c>
      <c r="D2442" s="31" t="s">
        <v>14007</v>
      </c>
      <c r="E2442" s="40" t="s">
        <v>14171</v>
      </c>
      <c r="F2442" s="31" t="s">
        <v>9732</v>
      </c>
      <c r="G2442" s="34" t="s">
        <v>9737</v>
      </c>
      <c r="I2442" s="35" t="s">
        <v>14145</v>
      </c>
      <c r="J2442" s="36" t="s">
        <v>2264</v>
      </c>
    </row>
    <row r="2443" spans="1:10" x14ac:dyDescent="0.25">
      <c r="A2443" s="31" t="s">
        <v>2265</v>
      </c>
      <c r="B2443" s="31">
        <v>60.051400000000001</v>
      </c>
      <c r="C2443" s="32" t="s">
        <v>14172</v>
      </c>
      <c r="D2443" s="31" t="s">
        <v>14007</v>
      </c>
      <c r="E2443" s="40" t="s">
        <v>14173</v>
      </c>
      <c r="F2443" s="31" t="s">
        <v>9732</v>
      </c>
      <c r="G2443" s="34" t="s">
        <v>9737</v>
      </c>
      <c r="I2443" s="35" t="s">
        <v>14145</v>
      </c>
      <c r="J2443" s="36" t="s">
        <v>2265</v>
      </c>
    </row>
    <row r="2444" spans="1:10" x14ac:dyDescent="0.25">
      <c r="A2444" s="31" t="s">
        <v>2266</v>
      </c>
      <c r="B2444" s="31">
        <v>60.051499999999997</v>
      </c>
      <c r="C2444" s="32" t="s">
        <v>14174</v>
      </c>
      <c r="D2444" s="31" t="s">
        <v>14007</v>
      </c>
      <c r="E2444" s="40" t="s">
        <v>14175</v>
      </c>
      <c r="F2444" s="31" t="s">
        <v>9732</v>
      </c>
      <c r="G2444" s="34" t="s">
        <v>9737</v>
      </c>
      <c r="I2444" s="35" t="s">
        <v>14145</v>
      </c>
      <c r="J2444" s="36" t="s">
        <v>2266</v>
      </c>
    </row>
    <row r="2445" spans="1:10" x14ac:dyDescent="0.25">
      <c r="A2445" s="31" t="s">
        <v>2267</v>
      </c>
      <c r="B2445" s="31">
        <v>60.051600000000001</v>
      </c>
      <c r="C2445" s="32" t="s">
        <v>14176</v>
      </c>
      <c r="D2445" s="31" t="s">
        <v>14007</v>
      </c>
      <c r="E2445" s="40" t="s">
        <v>14177</v>
      </c>
      <c r="F2445" s="31" t="s">
        <v>9732</v>
      </c>
      <c r="G2445" s="34" t="s">
        <v>9737</v>
      </c>
      <c r="I2445" s="35" t="s">
        <v>14145</v>
      </c>
      <c r="J2445" s="36" t="s">
        <v>2267</v>
      </c>
    </row>
    <row r="2446" spans="1:10" x14ac:dyDescent="0.25">
      <c r="A2446" s="31" t="s">
        <v>2268</v>
      </c>
      <c r="B2446" s="31">
        <v>60.051699999999997</v>
      </c>
      <c r="C2446" s="32" t="s">
        <v>14178</v>
      </c>
      <c r="D2446" s="31" t="s">
        <v>14007</v>
      </c>
      <c r="E2446" s="40" t="s">
        <v>14179</v>
      </c>
      <c r="F2446" s="31" t="s">
        <v>9732</v>
      </c>
      <c r="G2446" s="34" t="s">
        <v>9737</v>
      </c>
      <c r="I2446" s="35" t="s">
        <v>14145</v>
      </c>
      <c r="J2446" s="36" t="s">
        <v>2268</v>
      </c>
    </row>
    <row r="2447" spans="1:10" x14ac:dyDescent="0.25">
      <c r="A2447" s="31" t="s">
        <v>2269</v>
      </c>
      <c r="B2447" s="31">
        <v>60.0518</v>
      </c>
      <c r="C2447" s="32" t="s">
        <v>14180</v>
      </c>
      <c r="D2447" s="31" t="s">
        <v>14007</v>
      </c>
      <c r="E2447" s="40" t="s">
        <v>14181</v>
      </c>
      <c r="F2447" s="31" t="s">
        <v>9732</v>
      </c>
      <c r="G2447" s="34" t="s">
        <v>9737</v>
      </c>
      <c r="I2447" s="35" t="s">
        <v>14145</v>
      </c>
      <c r="J2447" s="36" t="s">
        <v>2269</v>
      </c>
    </row>
    <row r="2448" spans="1:10" x14ac:dyDescent="0.25">
      <c r="A2448" s="31" t="s">
        <v>2270</v>
      </c>
      <c r="B2448" s="31">
        <v>60.051900000000003</v>
      </c>
      <c r="C2448" s="32" t="s">
        <v>14182</v>
      </c>
      <c r="D2448" s="31" t="s">
        <v>14007</v>
      </c>
      <c r="E2448" s="40" t="s">
        <v>14183</v>
      </c>
      <c r="F2448" s="31" t="s">
        <v>9732</v>
      </c>
      <c r="G2448" s="34" t="s">
        <v>9737</v>
      </c>
      <c r="I2448" s="35" t="s">
        <v>14145</v>
      </c>
      <c r="J2448" s="36" t="s">
        <v>2270</v>
      </c>
    </row>
    <row r="2449" spans="1:10" x14ac:dyDescent="0.25">
      <c r="A2449" s="31" t="s">
        <v>2271</v>
      </c>
      <c r="B2449" s="31">
        <v>60.052</v>
      </c>
      <c r="C2449" s="32" t="s">
        <v>14184</v>
      </c>
      <c r="D2449" s="31" t="s">
        <v>14007</v>
      </c>
      <c r="E2449" s="40" t="s">
        <v>14185</v>
      </c>
      <c r="F2449" s="31" t="s">
        <v>9732</v>
      </c>
      <c r="G2449" s="34" t="s">
        <v>9737</v>
      </c>
      <c r="I2449" s="35" t="s">
        <v>14145</v>
      </c>
      <c r="J2449" s="36" t="s">
        <v>2271</v>
      </c>
    </row>
    <row r="2450" spans="1:10" x14ac:dyDescent="0.25">
      <c r="A2450" s="31" t="s">
        <v>2272</v>
      </c>
      <c r="B2450" s="31">
        <v>60.052100000000003</v>
      </c>
      <c r="C2450" s="32" t="s">
        <v>14186</v>
      </c>
      <c r="D2450" s="31" t="s">
        <v>14007</v>
      </c>
      <c r="E2450" s="40" t="s">
        <v>14187</v>
      </c>
      <c r="F2450" s="31" t="s">
        <v>9732</v>
      </c>
      <c r="G2450" s="34" t="s">
        <v>9737</v>
      </c>
      <c r="I2450" s="35" t="s">
        <v>14145</v>
      </c>
      <c r="J2450" s="36" t="s">
        <v>2272</v>
      </c>
    </row>
    <row r="2451" spans="1:10" x14ac:dyDescent="0.25">
      <c r="A2451" s="31" t="s">
        <v>2273</v>
      </c>
      <c r="B2451" s="31">
        <v>60.052199999999999</v>
      </c>
      <c r="C2451" s="32" t="s">
        <v>14188</v>
      </c>
      <c r="D2451" s="31" t="s">
        <v>14007</v>
      </c>
      <c r="E2451" s="40" t="s">
        <v>14189</v>
      </c>
      <c r="F2451" s="31" t="s">
        <v>9732</v>
      </c>
      <c r="G2451" s="34" t="s">
        <v>9737</v>
      </c>
      <c r="I2451" s="35" t="s">
        <v>14145</v>
      </c>
      <c r="J2451" s="36" t="s">
        <v>2273</v>
      </c>
    </row>
    <row r="2452" spans="1:10" x14ac:dyDescent="0.25">
      <c r="A2452" s="31" t="s">
        <v>2274</v>
      </c>
      <c r="B2452" s="31">
        <v>60.052300000000002</v>
      </c>
      <c r="C2452" s="32" t="s">
        <v>14190</v>
      </c>
      <c r="D2452" s="31" t="s">
        <v>14007</v>
      </c>
      <c r="E2452" s="40" t="s">
        <v>14191</v>
      </c>
      <c r="F2452" s="31" t="s">
        <v>9732</v>
      </c>
      <c r="G2452" s="34" t="s">
        <v>9737</v>
      </c>
      <c r="I2452" s="35" t="s">
        <v>14145</v>
      </c>
      <c r="J2452" s="36" t="s">
        <v>2274</v>
      </c>
    </row>
    <row r="2453" spans="1:10" x14ac:dyDescent="0.25">
      <c r="A2453" s="31" t="s">
        <v>2275</v>
      </c>
      <c r="B2453" s="31">
        <v>60.052399999999999</v>
      </c>
      <c r="C2453" s="32" t="s">
        <v>14192</v>
      </c>
      <c r="D2453" s="31" t="s">
        <v>14007</v>
      </c>
      <c r="E2453" s="40" t="s">
        <v>14193</v>
      </c>
      <c r="F2453" s="31" t="s">
        <v>9732</v>
      </c>
      <c r="G2453" s="34" t="s">
        <v>9737</v>
      </c>
      <c r="I2453" s="35" t="s">
        <v>14145</v>
      </c>
      <c r="J2453" s="36" t="s">
        <v>2275</v>
      </c>
    </row>
    <row r="2454" spans="1:10" x14ac:dyDescent="0.25">
      <c r="A2454" s="31" t="s">
        <v>2276</v>
      </c>
      <c r="B2454" s="31">
        <v>60.052500000000002</v>
      </c>
      <c r="C2454" s="32" t="s">
        <v>14194</v>
      </c>
      <c r="D2454" s="31" t="s">
        <v>14007</v>
      </c>
      <c r="E2454" s="40" t="s">
        <v>14195</v>
      </c>
      <c r="F2454" s="31" t="s">
        <v>9732</v>
      </c>
      <c r="G2454" s="34" t="s">
        <v>9737</v>
      </c>
      <c r="I2454" s="35" t="s">
        <v>14145</v>
      </c>
      <c r="J2454" s="36" t="s">
        <v>2276</v>
      </c>
    </row>
    <row r="2455" spans="1:10" x14ac:dyDescent="0.25">
      <c r="A2455" s="31" t="s">
        <v>2277</v>
      </c>
      <c r="B2455" s="31">
        <v>60.052599999999998</v>
      </c>
      <c r="C2455" s="32" t="s">
        <v>14196</v>
      </c>
      <c r="D2455" s="31" t="s">
        <v>14007</v>
      </c>
      <c r="E2455" s="40" t="s">
        <v>14197</v>
      </c>
      <c r="F2455" s="31" t="s">
        <v>9732</v>
      </c>
      <c r="G2455" s="34" t="s">
        <v>9737</v>
      </c>
      <c r="I2455" s="35" t="s">
        <v>14145</v>
      </c>
      <c r="J2455" s="36" t="s">
        <v>2277</v>
      </c>
    </row>
    <row r="2456" spans="1:10" x14ac:dyDescent="0.25">
      <c r="A2456" s="31" t="s">
        <v>2278</v>
      </c>
      <c r="B2456" s="31">
        <v>60.052700000000002</v>
      </c>
      <c r="C2456" s="32" t="s">
        <v>14198</v>
      </c>
      <c r="D2456" s="31" t="s">
        <v>14007</v>
      </c>
      <c r="E2456" s="40" t="s">
        <v>14199</v>
      </c>
      <c r="F2456" s="31" t="s">
        <v>9732</v>
      </c>
      <c r="G2456" s="34" t="s">
        <v>9737</v>
      </c>
      <c r="I2456" s="35" t="s">
        <v>14145</v>
      </c>
      <c r="J2456" s="36" t="s">
        <v>2278</v>
      </c>
    </row>
    <row r="2457" spans="1:10" x14ac:dyDescent="0.25">
      <c r="A2457" s="31" t="s">
        <v>2279</v>
      </c>
      <c r="B2457" s="31">
        <v>60.052799999999998</v>
      </c>
      <c r="C2457" s="32" t="s">
        <v>14200</v>
      </c>
      <c r="D2457" s="31" t="s">
        <v>14007</v>
      </c>
      <c r="E2457" s="40" t="s">
        <v>14201</v>
      </c>
      <c r="F2457" s="31" t="s">
        <v>9732</v>
      </c>
      <c r="G2457" s="34" t="s">
        <v>9737</v>
      </c>
      <c r="I2457" s="35" t="s">
        <v>14145</v>
      </c>
      <c r="J2457" s="36" t="s">
        <v>2279</v>
      </c>
    </row>
    <row r="2458" spans="1:10" x14ac:dyDescent="0.25">
      <c r="A2458" s="31" t="s">
        <v>2280</v>
      </c>
      <c r="B2458" s="31">
        <v>60.052900000000001</v>
      </c>
      <c r="C2458" s="32" t="s">
        <v>14202</v>
      </c>
      <c r="D2458" s="31" t="s">
        <v>14007</v>
      </c>
      <c r="E2458" s="40" t="s">
        <v>14203</v>
      </c>
      <c r="F2458" s="31" t="s">
        <v>9732</v>
      </c>
      <c r="G2458" s="34" t="s">
        <v>9737</v>
      </c>
      <c r="I2458" s="35" t="s">
        <v>14145</v>
      </c>
      <c r="J2458" s="36" t="s">
        <v>2280</v>
      </c>
    </row>
    <row r="2459" spans="1:10" x14ac:dyDescent="0.25">
      <c r="A2459" s="31" t="s">
        <v>2281</v>
      </c>
      <c r="B2459" s="31">
        <v>60.052999999999997</v>
      </c>
      <c r="C2459" s="32" t="s">
        <v>14204</v>
      </c>
      <c r="D2459" s="31" t="s">
        <v>14007</v>
      </c>
      <c r="E2459" s="40" t="s">
        <v>14205</v>
      </c>
      <c r="F2459" s="31" t="s">
        <v>9732</v>
      </c>
      <c r="G2459" s="34" t="s">
        <v>9737</v>
      </c>
      <c r="I2459" s="35" t="s">
        <v>14145</v>
      </c>
      <c r="J2459" s="36" t="s">
        <v>2281</v>
      </c>
    </row>
    <row r="2460" spans="1:10" x14ac:dyDescent="0.25">
      <c r="A2460" s="31" t="s">
        <v>2282</v>
      </c>
      <c r="B2460" s="31">
        <v>60.053100000000001</v>
      </c>
      <c r="C2460" s="32" t="s">
        <v>14206</v>
      </c>
      <c r="D2460" s="31" t="s">
        <v>14007</v>
      </c>
      <c r="E2460" s="40" t="s">
        <v>14207</v>
      </c>
      <c r="F2460" s="31" t="s">
        <v>9732</v>
      </c>
      <c r="G2460" s="34" t="s">
        <v>9737</v>
      </c>
      <c r="I2460" s="35" t="s">
        <v>14145</v>
      </c>
      <c r="J2460" s="36" t="s">
        <v>2282</v>
      </c>
    </row>
    <row r="2461" spans="1:10" x14ac:dyDescent="0.25">
      <c r="A2461" s="31" t="s">
        <v>2283</v>
      </c>
      <c r="B2461" s="31">
        <v>60.053199999999997</v>
      </c>
      <c r="C2461" s="32" t="s">
        <v>14208</v>
      </c>
      <c r="D2461" s="31" t="s">
        <v>14007</v>
      </c>
      <c r="E2461" s="40" t="s">
        <v>14209</v>
      </c>
      <c r="F2461" s="31" t="s">
        <v>9732</v>
      </c>
      <c r="G2461" s="34" t="s">
        <v>9737</v>
      </c>
      <c r="I2461" s="35" t="s">
        <v>14145</v>
      </c>
      <c r="J2461" s="36" t="s">
        <v>2283</v>
      </c>
    </row>
    <row r="2462" spans="1:10" x14ac:dyDescent="0.25">
      <c r="A2462" s="31" t="s">
        <v>2284</v>
      </c>
      <c r="B2462" s="31">
        <v>60.0533</v>
      </c>
      <c r="C2462" s="32" t="s">
        <v>14210</v>
      </c>
      <c r="D2462" s="31" t="s">
        <v>14007</v>
      </c>
      <c r="E2462" s="40" t="s">
        <v>14211</v>
      </c>
      <c r="F2462" s="31" t="s">
        <v>9732</v>
      </c>
      <c r="G2462" s="34" t="s">
        <v>9737</v>
      </c>
      <c r="I2462" s="35" t="s">
        <v>14145</v>
      </c>
      <c r="J2462" s="36" t="s">
        <v>2284</v>
      </c>
    </row>
    <row r="2463" spans="1:10" x14ac:dyDescent="0.25">
      <c r="A2463" s="31" t="s">
        <v>2285</v>
      </c>
      <c r="B2463" s="31">
        <v>60.053400000000003</v>
      </c>
      <c r="C2463" s="32" t="s">
        <v>14212</v>
      </c>
      <c r="D2463" s="31" t="s">
        <v>14007</v>
      </c>
      <c r="E2463" s="40" t="s">
        <v>14213</v>
      </c>
      <c r="F2463" s="31" t="s">
        <v>9732</v>
      </c>
      <c r="G2463" s="34" t="s">
        <v>9737</v>
      </c>
      <c r="I2463" s="35" t="s">
        <v>14145</v>
      </c>
      <c r="J2463" s="36" t="s">
        <v>2285</v>
      </c>
    </row>
    <row r="2464" spans="1:10" x14ac:dyDescent="0.25">
      <c r="A2464" s="31" t="s">
        <v>2286</v>
      </c>
      <c r="B2464" s="31">
        <v>60.0535</v>
      </c>
      <c r="C2464" s="32" t="s">
        <v>14214</v>
      </c>
      <c r="D2464" s="31" t="s">
        <v>14007</v>
      </c>
      <c r="E2464" s="40" t="s">
        <v>14215</v>
      </c>
      <c r="F2464" s="31" t="s">
        <v>9732</v>
      </c>
      <c r="G2464" s="34" t="s">
        <v>9737</v>
      </c>
      <c r="I2464" s="35" t="s">
        <v>14145</v>
      </c>
      <c r="J2464" s="36" t="s">
        <v>2286</v>
      </c>
    </row>
    <row r="2465" spans="1:10" x14ac:dyDescent="0.25">
      <c r="A2465" s="31" t="s">
        <v>2287</v>
      </c>
      <c r="B2465" s="31">
        <v>60.053600000000003</v>
      </c>
      <c r="C2465" s="32" t="s">
        <v>14216</v>
      </c>
      <c r="D2465" s="31" t="s">
        <v>14007</v>
      </c>
      <c r="E2465" s="40" t="s">
        <v>14217</v>
      </c>
      <c r="F2465" s="31" t="s">
        <v>9732</v>
      </c>
      <c r="G2465" s="34" t="s">
        <v>9737</v>
      </c>
      <c r="I2465" s="35" t="s">
        <v>14145</v>
      </c>
      <c r="J2465" s="36" t="s">
        <v>2287</v>
      </c>
    </row>
    <row r="2466" spans="1:10" x14ac:dyDescent="0.25">
      <c r="A2466" s="31" t="s">
        <v>2288</v>
      </c>
      <c r="B2466" s="31">
        <v>60.053699999999999</v>
      </c>
      <c r="C2466" s="32" t="s">
        <v>14218</v>
      </c>
      <c r="D2466" s="31" t="s">
        <v>14007</v>
      </c>
      <c r="E2466" s="40" t="s">
        <v>14219</v>
      </c>
      <c r="F2466" s="31" t="s">
        <v>9732</v>
      </c>
      <c r="G2466" s="34" t="s">
        <v>9737</v>
      </c>
      <c r="I2466" s="35" t="s">
        <v>14145</v>
      </c>
      <c r="J2466" s="36" t="s">
        <v>2288</v>
      </c>
    </row>
    <row r="2467" spans="1:10" x14ac:dyDescent="0.25">
      <c r="A2467" s="31" t="s">
        <v>2289</v>
      </c>
      <c r="B2467" s="31">
        <v>60.053800000000003</v>
      </c>
      <c r="C2467" s="32" t="s">
        <v>14220</v>
      </c>
      <c r="D2467" s="31" t="s">
        <v>14007</v>
      </c>
      <c r="E2467" s="40" t="s">
        <v>14221</v>
      </c>
      <c r="F2467" s="31" t="s">
        <v>9732</v>
      </c>
      <c r="G2467" s="34" t="s">
        <v>9737</v>
      </c>
      <c r="I2467" s="35" t="s">
        <v>14145</v>
      </c>
      <c r="J2467" s="36" t="s">
        <v>2289</v>
      </c>
    </row>
    <row r="2468" spans="1:10" x14ac:dyDescent="0.25">
      <c r="A2468" s="31" t="s">
        <v>2290</v>
      </c>
      <c r="B2468" s="31">
        <v>60.053899999999999</v>
      </c>
      <c r="C2468" s="32" t="s">
        <v>14222</v>
      </c>
      <c r="D2468" s="31" t="s">
        <v>14007</v>
      </c>
      <c r="E2468" s="40" t="s">
        <v>14223</v>
      </c>
      <c r="F2468" s="31" t="s">
        <v>9732</v>
      </c>
      <c r="G2468" s="34" t="s">
        <v>9737</v>
      </c>
      <c r="I2468" s="35" t="s">
        <v>14145</v>
      </c>
      <c r="J2468" s="36" t="s">
        <v>2290</v>
      </c>
    </row>
    <row r="2469" spans="1:10" x14ac:dyDescent="0.25">
      <c r="A2469" s="31" t="s">
        <v>2291</v>
      </c>
      <c r="B2469" s="31">
        <v>60.054000000000002</v>
      </c>
      <c r="C2469" s="32" t="s">
        <v>14224</v>
      </c>
      <c r="D2469" s="31" t="s">
        <v>14007</v>
      </c>
      <c r="E2469" s="40" t="s">
        <v>14225</v>
      </c>
      <c r="F2469" s="31" t="s">
        <v>9732</v>
      </c>
      <c r="G2469" s="34" t="s">
        <v>9737</v>
      </c>
      <c r="I2469" s="35" t="s">
        <v>14145</v>
      </c>
      <c r="J2469" s="36" t="s">
        <v>2291</v>
      </c>
    </row>
    <row r="2470" spans="1:10" x14ac:dyDescent="0.25">
      <c r="A2470" s="31" t="s">
        <v>2292</v>
      </c>
      <c r="B2470" s="31">
        <v>60.054099999999998</v>
      </c>
      <c r="C2470" s="32" t="s">
        <v>14226</v>
      </c>
      <c r="D2470" s="31" t="s">
        <v>14007</v>
      </c>
      <c r="E2470" s="40" t="s">
        <v>14227</v>
      </c>
      <c r="F2470" s="31" t="s">
        <v>9732</v>
      </c>
      <c r="G2470" s="34" t="s">
        <v>9737</v>
      </c>
      <c r="I2470" s="35" t="s">
        <v>14145</v>
      </c>
      <c r="J2470" s="36" t="s">
        <v>2292</v>
      </c>
    </row>
    <row r="2471" spans="1:10" x14ac:dyDescent="0.25">
      <c r="A2471" s="31" t="s">
        <v>2293</v>
      </c>
      <c r="B2471" s="31">
        <v>60.054200000000002</v>
      </c>
      <c r="C2471" s="32" t="s">
        <v>14228</v>
      </c>
      <c r="D2471" s="31" t="s">
        <v>14007</v>
      </c>
      <c r="E2471" s="40" t="s">
        <v>14229</v>
      </c>
      <c r="F2471" s="31" t="s">
        <v>9732</v>
      </c>
      <c r="G2471" s="34" t="s">
        <v>9737</v>
      </c>
      <c r="I2471" s="35" t="s">
        <v>14145</v>
      </c>
      <c r="J2471" s="36" t="s">
        <v>2293</v>
      </c>
    </row>
    <row r="2472" spans="1:10" x14ac:dyDescent="0.25">
      <c r="A2472" s="31" t="s">
        <v>2294</v>
      </c>
      <c r="B2472" s="31">
        <v>60.054299999999998</v>
      </c>
      <c r="C2472" s="32" t="s">
        <v>14230</v>
      </c>
      <c r="D2472" s="31" t="s">
        <v>14007</v>
      </c>
      <c r="E2472" s="40" t="s">
        <v>14231</v>
      </c>
      <c r="F2472" s="31" t="s">
        <v>9732</v>
      </c>
      <c r="G2472" s="34" t="s">
        <v>9737</v>
      </c>
      <c r="I2472" s="35" t="s">
        <v>14145</v>
      </c>
      <c r="J2472" s="36" t="s">
        <v>2294</v>
      </c>
    </row>
    <row r="2473" spans="1:10" x14ac:dyDescent="0.25">
      <c r="A2473" s="31" t="s">
        <v>2295</v>
      </c>
      <c r="B2473" s="31">
        <v>60.054400000000001</v>
      </c>
      <c r="C2473" s="32" t="s">
        <v>14232</v>
      </c>
      <c r="D2473" s="31" t="s">
        <v>14007</v>
      </c>
      <c r="E2473" s="40" t="s">
        <v>14233</v>
      </c>
      <c r="F2473" s="31" t="s">
        <v>9732</v>
      </c>
      <c r="G2473" s="34" t="s">
        <v>9737</v>
      </c>
      <c r="I2473" s="35" t="s">
        <v>14145</v>
      </c>
      <c r="J2473" s="36" t="s">
        <v>2295</v>
      </c>
    </row>
    <row r="2474" spans="1:10" x14ac:dyDescent="0.25">
      <c r="A2474" s="31" t="s">
        <v>2296</v>
      </c>
      <c r="B2474" s="31">
        <v>60.054499999999997</v>
      </c>
      <c r="C2474" s="32" t="s">
        <v>14234</v>
      </c>
      <c r="D2474" s="31" t="s">
        <v>14007</v>
      </c>
      <c r="E2474" s="40" t="s">
        <v>14235</v>
      </c>
      <c r="F2474" s="31" t="s">
        <v>9732</v>
      </c>
      <c r="G2474" s="34" t="s">
        <v>9737</v>
      </c>
      <c r="I2474" s="35" t="s">
        <v>14145</v>
      </c>
      <c r="J2474" s="36" t="s">
        <v>2296</v>
      </c>
    </row>
    <row r="2475" spans="1:10" x14ac:dyDescent="0.25">
      <c r="A2475" s="31" t="s">
        <v>2297</v>
      </c>
      <c r="B2475" s="31">
        <v>60.054600000000001</v>
      </c>
      <c r="C2475" s="32" t="s">
        <v>14236</v>
      </c>
      <c r="D2475" s="31" t="s">
        <v>14007</v>
      </c>
      <c r="E2475" s="40" t="s">
        <v>14237</v>
      </c>
      <c r="F2475" s="31" t="s">
        <v>9732</v>
      </c>
      <c r="G2475" s="34" t="s">
        <v>9737</v>
      </c>
      <c r="I2475" s="35" t="s">
        <v>14145</v>
      </c>
      <c r="J2475" s="36" t="s">
        <v>2297</v>
      </c>
    </row>
    <row r="2476" spans="1:10" x14ac:dyDescent="0.25">
      <c r="A2476" s="31" t="s">
        <v>2298</v>
      </c>
      <c r="B2476" s="31">
        <v>60.054699999999997</v>
      </c>
      <c r="C2476" s="32" t="s">
        <v>14238</v>
      </c>
      <c r="D2476" s="31" t="s">
        <v>14007</v>
      </c>
      <c r="E2476" s="40" t="s">
        <v>14239</v>
      </c>
      <c r="F2476" s="31" t="s">
        <v>9732</v>
      </c>
      <c r="G2476" s="34" t="s">
        <v>9737</v>
      </c>
      <c r="I2476" s="35" t="s">
        <v>14145</v>
      </c>
      <c r="J2476" s="36" t="s">
        <v>2298</v>
      </c>
    </row>
    <row r="2477" spans="1:10" x14ac:dyDescent="0.25">
      <c r="A2477" s="31" t="s">
        <v>2299</v>
      </c>
      <c r="B2477" s="31">
        <v>60.0548</v>
      </c>
      <c r="C2477" s="32" t="s">
        <v>14240</v>
      </c>
      <c r="D2477" s="31" t="s">
        <v>14007</v>
      </c>
      <c r="E2477" s="40" t="s">
        <v>14241</v>
      </c>
      <c r="F2477" s="31" t="s">
        <v>9732</v>
      </c>
      <c r="G2477" s="34" t="s">
        <v>9737</v>
      </c>
      <c r="I2477" s="35" t="s">
        <v>14145</v>
      </c>
      <c r="J2477" s="36" t="s">
        <v>2299</v>
      </c>
    </row>
    <row r="2478" spans="1:10" x14ac:dyDescent="0.25">
      <c r="A2478" s="31" t="s">
        <v>2300</v>
      </c>
      <c r="B2478" s="31">
        <v>60.054900000000004</v>
      </c>
      <c r="C2478" s="32" t="s">
        <v>14242</v>
      </c>
      <c r="D2478" s="31" t="s">
        <v>14007</v>
      </c>
      <c r="E2478" s="40" t="s">
        <v>14243</v>
      </c>
      <c r="F2478" s="31" t="s">
        <v>9732</v>
      </c>
      <c r="G2478" s="34" t="s">
        <v>9737</v>
      </c>
      <c r="I2478" s="35" t="s">
        <v>14145</v>
      </c>
      <c r="J2478" s="36" t="s">
        <v>2300</v>
      </c>
    </row>
    <row r="2479" spans="1:10" x14ac:dyDescent="0.25">
      <c r="A2479" s="31" t="s">
        <v>2301</v>
      </c>
      <c r="B2479" s="31">
        <v>60.055</v>
      </c>
      <c r="C2479" s="32" t="s">
        <v>14244</v>
      </c>
      <c r="D2479" s="31" t="s">
        <v>14007</v>
      </c>
      <c r="E2479" s="40" t="s">
        <v>14245</v>
      </c>
      <c r="F2479" s="31" t="s">
        <v>9732</v>
      </c>
      <c r="G2479" s="34" t="s">
        <v>9737</v>
      </c>
      <c r="I2479" s="35" t="s">
        <v>14145</v>
      </c>
      <c r="J2479" s="36" t="s">
        <v>2301</v>
      </c>
    </row>
    <row r="2480" spans="1:10" x14ac:dyDescent="0.25">
      <c r="A2480" s="31" t="s">
        <v>2302</v>
      </c>
      <c r="B2480" s="31">
        <v>60.055100000000003</v>
      </c>
      <c r="C2480" s="32" t="s">
        <v>14246</v>
      </c>
      <c r="D2480" s="31" t="s">
        <v>14007</v>
      </c>
      <c r="E2480" s="40" t="s">
        <v>14247</v>
      </c>
      <c r="F2480" s="31" t="s">
        <v>9732</v>
      </c>
      <c r="G2480" s="34" t="s">
        <v>9737</v>
      </c>
      <c r="I2480" s="35" t="s">
        <v>14145</v>
      </c>
      <c r="J2480" s="36" t="s">
        <v>2302</v>
      </c>
    </row>
    <row r="2481" spans="1:10" x14ac:dyDescent="0.25">
      <c r="A2481" s="31" t="s">
        <v>2303</v>
      </c>
      <c r="B2481" s="31">
        <v>60.055199999999999</v>
      </c>
      <c r="C2481" s="32" t="s">
        <v>14248</v>
      </c>
      <c r="D2481" s="31" t="s">
        <v>14007</v>
      </c>
      <c r="E2481" s="40" t="s">
        <v>14249</v>
      </c>
      <c r="F2481" s="31" t="s">
        <v>9732</v>
      </c>
      <c r="G2481" s="34" t="s">
        <v>9737</v>
      </c>
      <c r="I2481" s="35" t="s">
        <v>14145</v>
      </c>
      <c r="J2481" s="36" t="s">
        <v>2303</v>
      </c>
    </row>
    <row r="2482" spans="1:10" x14ac:dyDescent="0.25">
      <c r="A2482" s="31" t="s">
        <v>2304</v>
      </c>
      <c r="B2482" s="31">
        <v>60.055300000000003</v>
      </c>
      <c r="C2482" s="32" t="s">
        <v>14250</v>
      </c>
      <c r="D2482" s="31" t="s">
        <v>14007</v>
      </c>
      <c r="E2482" s="40" t="s">
        <v>14251</v>
      </c>
      <c r="F2482" s="31" t="s">
        <v>9732</v>
      </c>
      <c r="G2482" s="34" t="s">
        <v>9737</v>
      </c>
      <c r="I2482" s="35" t="s">
        <v>14145</v>
      </c>
      <c r="J2482" s="36" t="s">
        <v>2304</v>
      </c>
    </row>
    <row r="2483" spans="1:10" x14ac:dyDescent="0.25">
      <c r="A2483" s="31" t="s">
        <v>2305</v>
      </c>
      <c r="B2483" s="31">
        <v>60.055399999999999</v>
      </c>
      <c r="C2483" s="32" t="s">
        <v>14252</v>
      </c>
      <c r="D2483" s="31" t="s">
        <v>14007</v>
      </c>
      <c r="E2483" s="40" t="s">
        <v>14253</v>
      </c>
      <c r="F2483" s="31" t="s">
        <v>9732</v>
      </c>
      <c r="G2483" s="34" t="s">
        <v>9737</v>
      </c>
      <c r="I2483" s="35" t="s">
        <v>14145</v>
      </c>
      <c r="J2483" s="36" t="s">
        <v>2305</v>
      </c>
    </row>
    <row r="2484" spans="1:10" x14ac:dyDescent="0.25">
      <c r="A2484" s="31" t="s">
        <v>2306</v>
      </c>
      <c r="B2484" s="31">
        <v>60.055500000000002</v>
      </c>
      <c r="C2484" s="32" t="s">
        <v>14254</v>
      </c>
      <c r="D2484" s="31" t="s">
        <v>14007</v>
      </c>
      <c r="E2484" s="40" t="s">
        <v>14255</v>
      </c>
      <c r="F2484" s="31" t="s">
        <v>9732</v>
      </c>
      <c r="G2484" s="34" t="s">
        <v>9737</v>
      </c>
      <c r="I2484" s="35" t="s">
        <v>14145</v>
      </c>
      <c r="J2484" s="36" t="s">
        <v>2306</v>
      </c>
    </row>
    <row r="2485" spans="1:10" x14ac:dyDescent="0.25">
      <c r="A2485" s="31" t="s">
        <v>2307</v>
      </c>
      <c r="B2485" s="31">
        <v>60.055599999999998</v>
      </c>
      <c r="C2485" s="32" t="s">
        <v>14256</v>
      </c>
      <c r="D2485" s="31" t="s">
        <v>14007</v>
      </c>
      <c r="E2485" s="40" t="s">
        <v>14257</v>
      </c>
      <c r="F2485" s="31" t="s">
        <v>9732</v>
      </c>
      <c r="G2485" s="34" t="s">
        <v>9737</v>
      </c>
      <c r="I2485" s="35" t="s">
        <v>14145</v>
      </c>
      <c r="J2485" s="36" t="s">
        <v>2307</v>
      </c>
    </row>
    <row r="2486" spans="1:10" x14ac:dyDescent="0.25">
      <c r="A2486" s="31" t="s">
        <v>2308</v>
      </c>
      <c r="B2486" s="31">
        <v>60.055700000000002</v>
      </c>
      <c r="C2486" s="32" t="s">
        <v>14258</v>
      </c>
      <c r="D2486" s="31" t="s">
        <v>14007</v>
      </c>
      <c r="E2486" s="40" t="s">
        <v>14259</v>
      </c>
      <c r="F2486" s="31" t="s">
        <v>9732</v>
      </c>
      <c r="G2486" s="34" t="s">
        <v>9737</v>
      </c>
      <c r="I2486" s="35" t="s">
        <v>14145</v>
      </c>
      <c r="J2486" s="36" t="s">
        <v>2308</v>
      </c>
    </row>
    <row r="2487" spans="1:10" x14ac:dyDescent="0.25">
      <c r="A2487" s="31" t="s">
        <v>2309</v>
      </c>
      <c r="B2487" s="31">
        <v>60.055799999999998</v>
      </c>
      <c r="C2487" s="32" t="s">
        <v>14260</v>
      </c>
      <c r="D2487" s="31" t="s">
        <v>14007</v>
      </c>
      <c r="E2487" s="40" t="s">
        <v>14261</v>
      </c>
      <c r="F2487" s="31" t="s">
        <v>9732</v>
      </c>
      <c r="G2487" s="34" t="s">
        <v>9737</v>
      </c>
      <c r="I2487" s="35" t="s">
        <v>14145</v>
      </c>
      <c r="J2487" s="36" t="s">
        <v>2309</v>
      </c>
    </row>
    <row r="2488" spans="1:10" x14ac:dyDescent="0.25">
      <c r="A2488" s="31" t="s">
        <v>2310</v>
      </c>
      <c r="B2488" s="31">
        <v>60.055900000000001</v>
      </c>
      <c r="C2488" s="32" t="s">
        <v>14262</v>
      </c>
      <c r="D2488" s="31" t="s">
        <v>14007</v>
      </c>
      <c r="E2488" s="40" t="s">
        <v>14263</v>
      </c>
      <c r="F2488" s="31" t="s">
        <v>9732</v>
      </c>
      <c r="G2488" s="34" t="s">
        <v>9737</v>
      </c>
      <c r="I2488" s="35" t="s">
        <v>14145</v>
      </c>
      <c r="J2488" s="36" t="s">
        <v>2310</v>
      </c>
    </row>
    <row r="2489" spans="1:10" x14ac:dyDescent="0.25">
      <c r="A2489" s="31" t="s">
        <v>2311</v>
      </c>
      <c r="B2489" s="31">
        <v>60.055999999999997</v>
      </c>
      <c r="C2489" s="32" t="s">
        <v>14264</v>
      </c>
      <c r="D2489" s="31" t="s">
        <v>14007</v>
      </c>
      <c r="E2489" s="40" t="s">
        <v>14265</v>
      </c>
      <c r="F2489" s="31" t="s">
        <v>9732</v>
      </c>
      <c r="G2489" s="34" t="s">
        <v>9737</v>
      </c>
      <c r="I2489" s="35" t="s">
        <v>14145</v>
      </c>
      <c r="J2489" s="36" t="s">
        <v>2311</v>
      </c>
    </row>
    <row r="2490" spans="1:10" x14ac:dyDescent="0.25">
      <c r="A2490" s="31" t="s">
        <v>2312</v>
      </c>
      <c r="B2490" s="31">
        <v>60.056100000000001</v>
      </c>
      <c r="C2490" s="32" t="s">
        <v>14266</v>
      </c>
      <c r="D2490" s="31" t="s">
        <v>14007</v>
      </c>
      <c r="E2490" s="40" t="s">
        <v>14267</v>
      </c>
      <c r="F2490" s="31" t="s">
        <v>9732</v>
      </c>
      <c r="G2490" s="34" t="s">
        <v>9737</v>
      </c>
      <c r="I2490" s="35" t="s">
        <v>14145</v>
      </c>
      <c r="J2490" s="36" t="s">
        <v>2312</v>
      </c>
    </row>
    <row r="2491" spans="1:10" x14ac:dyDescent="0.25">
      <c r="A2491" s="31" t="s">
        <v>2313</v>
      </c>
      <c r="B2491" s="31">
        <v>60.056199999999997</v>
      </c>
      <c r="C2491" s="32" t="s">
        <v>14268</v>
      </c>
      <c r="D2491" s="31" t="s">
        <v>14007</v>
      </c>
      <c r="E2491" s="40" t="s">
        <v>14269</v>
      </c>
      <c r="F2491" s="31" t="s">
        <v>9732</v>
      </c>
      <c r="G2491" s="34" t="s">
        <v>9737</v>
      </c>
      <c r="I2491" s="35" t="s">
        <v>14145</v>
      </c>
      <c r="J2491" s="36" t="s">
        <v>2313</v>
      </c>
    </row>
    <row r="2492" spans="1:10" x14ac:dyDescent="0.25">
      <c r="A2492" s="31" t="s">
        <v>2314</v>
      </c>
      <c r="B2492" s="31">
        <v>60.0563</v>
      </c>
      <c r="C2492" s="32" t="s">
        <v>14270</v>
      </c>
      <c r="D2492" s="31" t="s">
        <v>14007</v>
      </c>
      <c r="E2492" s="40" t="s">
        <v>14271</v>
      </c>
      <c r="F2492" s="31" t="s">
        <v>9732</v>
      </c>
      <c r="G2492" s="34" t="s">
        <v>9737</v>
      </c>
      <c r="I2492" s="35" t="s">
        <v>14145</v>
      </c>
      <c r="J2492" s="36" t="s">
        <v>2314</v>
      </c>
    </row>
    <row r="2493" spans="1:10" x14ac:dyDescent="0.25">
      <c r="A2493" s="31" t="s">
        <v>2315</v>
      </c>
      <c r="B2493" s="31">
        <v>60.056399999999996</v>
      </c>
      <c r="C2493" s="32" t="s">
        <v>14272</v>
      </c>
      <c r="D2493" s="31" t="s">
        <v>14007</v>
      </c>
      <c r="E2493" s="40" t="s">
        <v>14273</v>
      </c>
      <c r="F2493" s="31" t="s">
        <v>9732</v>
      </c>
      <c r="G2493" s="34" t="s">
        <v>9737</v>
      </c>
      <c r="I2493" s="35" t="s">
        <v>14145</v>
      </c>
      <c r="J2493" s="36" t="s">
        <v>2315</v>
      </c>
    </row>
    <row r="2494" spans="1:10" x14ac:dyDescent="0.25">
      <c r="A2494" s="31" t="s">
        <v>2316</v>
      </c>
      <c r="B2494" s="31">
        <v>60.0565</v>
      </c>
      <c r="C2494" s="32" t="s">
        <v>14274</v>
      </c>
      <c r="D2494" s="31" t="s">
        <v>14007</v>
      </c>
      <c r="E2494" s="40" t="s">
        <v>14275</v>
      </c>
      <c r="F2494" s="31" t="s">
        <v>9732</v>
      </c>
      <c r="G2494" s="34" t="s">
        <v>9737</v>
      </c>
      <c r="I2494" s="35" t="s">
        <v>14145</v>
      </c>
      <c r="J2494" s="36" t="s">
        <v>2316</v>
      </c>
    </row>
    <row r="2495" spans="1:10" x14ac:dyDescent="0.25">
      <c r="A2495" s="31" t="s">
        <v>2317</v>
      </c>
      <c r="B2495" s="31">
        <v>60.056600000000003</v>
      </c>
      <c r="C2495" s="32" t="s">
        <v>14276</v>
      </c>
      <c r="D2495" s="31" t="s">
        <v>14007</v>
      </c>
      <c r="E2495" s="40" t="s">
        <v>14277</v>
      </c>
      <c r="F2495" s="31" t="s">
        <v>9732</v>
      </c>
      <c r="G2495" s="34" t="s">
        <v>9737</v>
      </c>
      <c r="I2495" s="35" t="s">
        <v>14145</v>
      </c>
      <c r="J2495" s="36" t="s">
        <v>2317</v>
      </c>
    </row>
    <row r="2496" spans="1:10" x14ac:dyDescent="0.25">
      <c r="A2496" s="31" t="s">
        <v>2318</v>
      </c>
      <c r="B2496" s="31">
        <v>60.056699999999999</v>
      </c>
      <c r="C2496" s="32" t="s">
        <v>14278</v>
      </c>
      <c r="D2496" s="31" t="s">
        <v>14007</v>
      </c>
      <c r="E2496" s="40" t="s">
        <v>14279</v>
      </c>
      <c r="F2496" s="31" t="s">
        <v>9732</v>
      </c>
      <c r="G2496" s="34" t="s">
        <v>9737</v>
      </c>
      <c r="I2496" s="35" t="s">
        <v>14145</v>
      </c>
      <c r="J2496" s="36" t="s">
        <v>2318</v>
      </c>
    </row>
    <row r="2497" spans="1:10" x14ac:dyDescent="0.25">
      <c r="A2497" s="31" t="s">
        <v>2319</v>
      </c>
      <c r="B2497" s="31">
        <v>60.056800000000003</v>
      </c>
      <c r="C2497" s="32" t="s">
        <v>14280</v>
      </c>
      <c r="D2497" s="31" t="s">
        <v>14007</v>
      </c>
      <c r="E2497" s="40" t="s">
        <v>14281</v>
      </c>
      <c r="F2497" s="31" t="s">
        <v>9732</v>
      </c>
      <c r="G2497" s="34" t="s">
        <v>9737</v>
      </c>
      <c r="I2497" s="35" t="s">
        <v>14145</v>
      </c>
      <c r="J2497" s="36" t="s">
        <v>2319</v>
      </c>
    </row>
    <row r="2498" spans="1:10" x14ac:dyDescent="0.25">
      <c r="A2498" s="31" t="s">
        <v>2320</v>
      </c>
      <c r="B2498" s="31">
        <v>60.056899999999999</v>
      </c>
      <c r="C2498" s="32" t="s">
        <v>14282</v>
      </c>
      <c r="D2498" s="31" t="s">
        <v>14007</v>
      </c>
      <c r="E2498" s="40" t="s">
        <v>14283</v>
      </c>
      <c r="F2498" s="31" t="s">
        <v>9732</v>
      </c>
      <c r="G2498" s="34" t="s">
        <v>9737</v>
      </c>
      <c r="I2498" s="35" t="s">
        <v>14145</v>
      </c>
      <c r="J2498" s="36" t="s">
        <v>2320</v>
      </c>
    </row>
    <row r="2499" spans="1:10" x14ac:dyDescent="0.25">
      <c r="A2499" s="31" t="s">
        <v>2321</v>
      </c>
      <c r="B2499" s="31">
        <v>60.057000000000002</v>
      </c>
      <c r="C2499" s="32" t="s">
        <v>14284</v>
      </c>
      <c r="D2499" s="31" t="s">
        <v>14007</v>
      </c>
      <c r="E2499" s="40" t="s">
        <v>14285</v>
      </c>
      <c r="F2499" s="31" t="s">
        <v>9732</v>
      </c>
      <c r="G2499" s="34" t="s">
        <v>9737</v>
      </c>
      <c r="I2499" s="35" t="s">
        <v>14145</v>
      </c>
      <c r="J2499" s="36" t="s">
        <v>2321</v>
      </c>
    </row>
    <row r="2500" spans="1:10" x14ac:dyDescent="0.25">
      <c r="A2500" s="31" t="s">
        <v>2322</v>
      </c>
      <c r="B2500" s="31">
        <v>60.057099999999998</v>
      </c>
      <c r="C2500" s="32" t="s">
        <v>14286</v>
      </c>
      <c r="D2500" s="31" t="s">
        <v>14007</v>
      </c>
      <c r="E2500" s="40" t="s">
        <v>14287</v>
      </c>
      <c r="F2500" s="31" t="s">
        <v>9732</v>
      </c>
      <c r="G2500" s="34" t="s">
        <v>9737</v>
      </c>
      <c r="I2500" s="35" t="s">
        <v>14145</v>
      </c>
      <c r="J2500" s="36" t="s">
        <v>2322</v>
      </c>
    </row>
    <row r="2501" spans="1:10" x14ac:dyDescent="0.25">
      <c r="A2501" s="31" t="s">
        <v>2323</v>
      </c>
      <c r="B2501" s="31">
        <v>60.057200000000002</v>
      </c>
      <c r="C2501" s="32" t="s">
        <v>14288</v>
      </c>
      <c r="D2501" s="31" t="s">
        <v>14007</v>
      </c>
      <c r="E2501" s="40" t="s">
        <v>14289</v>
      </c>
      <c r="F2501" s="31" t="s">
        <v>9732</v>
      </c>
      <c r="G2501" s="34" t="s">
        <v>9737</v>
      </c>
      <c r="I2501" s="35" t="s">
        <v>14145</v>
      </c>
      <c r="J2501" s="36" t="s">
        <v>2323</v>
      </c>
    </row>
    <row r="2502" spans="1:10" x14ac:dyDescent="0.25">
      <c r="A2502" s="31" t="s">
        <v>2324</v>
      </c>
      <c r="B2502" s="31">
        <v>60.057299999999998</v>
      </c>
      <c r="C2502" s="32" t="s">
        <v>14290</v>
      </c>
      <c r="D2502" s="31" t="s">
        <v>14007</v>
      </c>
      <c r="E2502" s="40" t="s">
        <v>14291</v>
      </c>
      <c r="F2502" s="31" t="s">
        <v>9732</v>
      </c>
      <c r="G2502" s="34" t="s">
        <v>9737</v>
      </c>
      <c r="I2502" s="35" t="s">
        <v>14145</v>
      </c>
      <c r="J2502" s="36" t="s">
        <v>2324</v>
      </c>
    </row>
    <row r="2503" spans="1:10" x14ac:dyDescent="0.25">
      <c r="A2503" s="31" t="s">
        <v>2325</v>
      </c>
      <c r="B2503" s="31">
        <v>60.057400000000001</v>
      </c>
      <c r="C2503" s="32" t="s">
        <v>14292</v>
      </c>
      <c r="D2503" s="31" t="s">
        <v>14007</v>
      </c>
      <c r="E2503" s="40" t="s">
        <v>14293</v>
      </c>
      <c r="F2503" s="31" t="s">
        <v>9732</v>
      </c>
      <c r="G2503" s="34" t="s">
        <v>9737</v>
      </c>
      <c r="I2503" s="35" t="s">
        <v>14145</v>
      </c>
      <c r="J2503" s="36" t="s">
        <v>2325</v>
      </c>
    </row>
    <row r="2504" spans="1:10" x14ac:dyDescent="0.25">
      <c r="A2504" s="31" t="s">
        <v>2326</v>
      </c>
      <c r="B2504" s="31">
        <v>60.057499999999997</v>
      </c>
      <c r="C2504" s="32" t="s">
        <v>14294</v>
      </c>
      <c r="D2504" s="31" t="s">
        <v>14007</v>
      </c>
      <c r="E2504" s="40" t="s">
        <v>14295</v>
      </c>
      <c r="F2504" s="31" t="s">
        <v>9732</v>
      </c>
      <c r="G2504" s="34" t="s">
        <v>9737</v>
      </c>
      <c r="I2504" s="35" t="s">
        <v>14145</v>
      </c>
      <c r="J2504" s="36" t="s">
        <v>2326</v>
      </c>
    </row>
    <row r="2505" spans="1:10" x14ac:dyDescent="0.25">
      <c r="A2505" s="31" t="s">
        <v>2327</v>
      </c>
      <c r="B2505" s="31">
        <v>60.057600000000001</v>
      </c>
      <c r="C2505" s="32" t="s">
        <v>14296</v>
      </c>
      <c r="D2505" s="31" t="s">
        <v>14007</v>
      </c>
      <c r="E2505" s="40" t="s">
        <v>14297</v>
      </c>
      <c r="F2505" s="31" t="s">
        <v>9732</v>
      </c>
      <c r="G2505" s="34" t="s">
        <v>9737</v>
      </c>
      <c r="I2505" s="35" t="s">
        <v>14145</v>
      </c>
      <c r="J2505" s="36" t="s">
        <v>2327</v>
      </c>
    </row>
    <row r="2506" spans="1:10" x14ac:dyDescent="0.25">
      <c r="A2506" s="31" t="s">
        <v>2328</v>
      </c>
      <c r="B2506" s="31">
        <v>60.057699999999997</v>
      </c>
      <c r="C2506" s="32" t="s">
        <v>14298</v>
      </c>
      <c r="D2506" s="31" t="s">
        <v>14007</v>
      </c>
      <c r="E2506" s="40" t="s">
        <v>14299</v>
      </c>
      <c r="F2506" s="31" t="s">
        <v>9732</v>
      </c>
      <c r="G2506" s="34" t="s">
        <v>9737</v>
      </c>
      <c r="I2506" s="35" t="s">
        <v>14145</v>
      </c>
      <c r="J2506" s="36" t="s">
        <v>2328</v>
      </c>
    </row>
    <row r="2507" spans="1:10" x14ac:dyDescent="0.25">
      <c r="A2507" s="31" t="s">
        <v>2329</v>
      </c>
      <c r="B2507" s="31">
        <v>60.0578</v>
      </c>
      <c r="C2507" s="32" t="s">
        <v>14300</v>
      </c>
      <c r="D2507" s="31" t="s">
        <v>14007</v>
      </c>
      <c r="E2507" s="40" t="s">
        <v>14301</v>
      </c>
      <c r="F2507" s="31" t="s">
        <v>9732</v>
      </c>
      <c r="G2507" s="34" t="s">
        <v>9737</v>
      </c>
      <c r="I2507" s="35" t="s">
        <v>14145</v>
      </c>
      <c r="J2507" s="36" t="s">
        <v>2329</v>
      </c>
    </row>
    <row r="2508" spans="1:10" x14ac:dyDescent="0.25">
      <c r="A2508" s="31" t="s">
        <v>2330</v>
      </c>
      <c r="B2508" s="31">
        <v>60.057899999999997</v>
      </c>
      <c r="C2508" s="32" t="s">
        <v>14302</v>
      </c>
      <c r="D2508" s="31" t="s">
        <v>14007</v>
      </c>
      <c r="E2508" s="40" t="s">
        <v>14303</v>
      </c>
      <c r="F2508" s="31" t="s">
        <v>9732</v>
      </c>
      <c r="G2508" s="34" t="s">
        <v>9737</v>
      </c>
      <c r="I2508" s="35" t="s">
        <v>14145</v>
      </c>
      <c r="J2508" s="36" t="s">
        <v>2330</v>
      </c>
    </row>
    <row r="2509" spans="1:10" x14ac:dyDescent="0.25">
      <c r="A2509" s="31" t="s">
        <v>2331</v>
      </c>
      <c r="B2509" s="31">
        <v>60.058</v>
      </c>
      <c r="C2509" s="32" t="s">
        <v>14304</v>
      </c>
      <c r="D2509" s="31" t="s">
        <v>14007</v>
      </c>
      <c r="E2509" s="40" t="s">
        <v>14305</v>
      </c>
      <c r="F2509" s="31" t="s">
        <v>9732</v>
      </c>
      <c r="G2509" s="34" t="s">
        <v>9737</v>
      </c>
      <c r="I2509" s="35" t="s">
        <v>14145</v>
      </c>
      <c r="J2509" s="36" t="s">
        <v>2331</v>
      </c>
    </row>
    <row r="2510" spans="1:10" x14ac:dyDescent="0.25">
      <c r="A2510" s="31" t="s">
        <v>2332</v>
      </c>
      <c r="B2510" s="31">
        <v>60.058100000000003</v>
      </c>
      <c r="C2510" s="32" t="s">
        <v>14306</v>
      </c>
      <c r="D2510" s="31" t="s">
        <v>14007</v>
      </c>
      <c r="E2510" s="40" t="s">
        <v>14307</v>
      </c>
      <c r="F2510" s="31" t="s">
        <v>9732</v>
      </c>
      <c r="G2510" s="34" t="s">
        <v>9737</v>
      </c>
      <c r="I2510" s="35" t="s">
        <v>14145</v>
      </c>
      <c r="J2510" s="36" t="s">
        <v>2332</v>
      </c>
    </row>
    <row r="2511" spans="1:10" x14ac:dyDescent="0.25">
      <c r="A2511" s="31" t="s">
        <v>2333</v>
      </c>
      <c r="B2511" s="31">
        <v>60.058199999999999</v>
      </c>
      <c r="C2511" s="32" t="s">
        <v>14308</v>
      </c>
      <c r="D2511" s="31" t="s">
        <v>14007</v>
      </c>
      <c r="E2511" s="40" t="s">
        <v>14309</v>
      </c>
      <c r="F2511" s="31" t="s">
        <v>9732</v>
      </c>
      <c r="G2511" s="34" t="s">
        <v>9737</v>
      </c>
      <c r="I2511" s="35" t="s">
        <v>14145</v>
      </c>
      <c r="J2511" s="36" t="s">
        <v>2333</v>
      </c>
    </row>
    <row r="2512" spans="1:10" x14ac:dyDescent="0.25">
      <c r="A2512" s="31" t="s">
        <v>2334</v>
      </c>
      <c r="B2512" s="31">
        <v>60.058300000000003</v>
      </c>
      <c r="C2512" s="32" t="s">
        <v>14310</v>
      </c>
      <c r="D2512" s="31" t="s">
        <v>14007</v>
      </c>
      <c r="E2512" s="40" t="s">
        <v>14311</v>
      </c>
      <c r="F2512" s="31" t="s">
        <v>9732</v>
      </c>
      <c r="G2512" s="34" t="s">
        <v>9737</v>
      </c>
      <c r="I2512" s="35" t="s">
        <v>14145</v>
      </c>
      <c r="J2512" s="36" t="s">
        <v>2334</v>
      </c>
    </row>
    <row r="2513" spans="1:10" x14ac:dyDescent="0.25">
      <c r="A2513" s="31" t="s">
        <v>2335</v>
      </c>
      <c r="B2513" s="31">
        <v>60.058399999999999</v>
      </c>
      <c r="C2513" s="32" t="s">
        <v>14312</v>
      </c>
      <c r="D2513" s="31" t="s">
        <v>14007</v>
      </c>
      <c r="E2513" s="40" t="s">
        <v>14313</v>
      </c>
      <c r="F2513" s="31" t="s">
        <v>9732</v>
      </c>
      <c r="G2513" s="34" t="s">
        <v>9737</v>
      </c>
      <c r="I2513" s="35" t="s">
        <v>14145</v>
      </c>
      <c r="J2513" s="36" t="s">
        <v>2335</v>
      </c>
    </row>
    <row r="2514" spans="1:10" x14ac:dyDescent="0.25">
      <c r="A2514" s="31" t="s">
        <v>2336</v>
      </c>
      <c r="B2514" s="31">
        <v>60.059899999999999</v>
      </c>
      <c r="C2514" s="32" t="s">
        <v>14314</v>
      </c>
      <c r="D2514" s="31" t="s">
        <v>14007</v>
      </c>
      <c r="E2514" s="40" t="s">
        <v>14315</v>
      </c>
      <c r="F2514" s="31" t="s">
        <v>9732</v>
      </c>
      <c r="G2514" s="34" t="s">
        <v>9737</v>
      </c>
      <c r="I2514" s="35" t="s">
        <v>14145</v>
      </c>
      <c r="J2514" s="36" t="s">
        <v>2336</v>
      </c>
    </row>
    <row r="2515" spans="1:10" x14ac:dyDescent="0.25">
      <c r="A2515" s="31" t="s">
        <v>2337</v>
      </c>
      <c r="B2515" s="31">
        <v>60.06</v>
      </c>
      <c r="C2515" s="32" t="s">
        <v>14316</v>
      </c>
      <c r="D2515" s="31" t="s">
        <v>14007</v>
      </c>
      <c r="E2515" s="40" t="s">
        <v>9738</v>
      </c>
      <c r="F2515" s="31" t="s">
        <v>9732</v>
      </c>
      <c r="G2515" s="34" t="s">
        <v>9738</v>
      </c>
      <c r="H2515" s="34" t="s">
        <v>9738</v>
      </c>
      <c r="I2515" s="35" t="s">
        <v>14316</v>
      </c>
      <c r="J2515" s="36" t="s">
        <v>2337</v>
      </c>
    </row>
    <row r="2516" spans="1:10" x14ac:dyDescent="0.25">
      <c r="A2516" s="31" t="s">
        <v>2338</v>
      </c>
      <c r="B2516" s="31">
        <v>60.060099999999998</v>
      </c>
      <c r="C2516" s="32" t="s">
        <v>14317</v>
      </c>
      <c r="D2516" s="31" t="s">
        <v>14007</v>
      </c>
      <c r="E2516" s="40" t="s">
        <v>14318</v>
      </c>
      <c r="F2516" s="31" t="s">
        <v>9732</v>
      </c>
      <c r="G2516" s="34" t="s">
        <v>9738</v>
      </c>
      <c r="I2516" s="35" t="s">
        <v>14316</v>
      </c>
      <c r="J2516" s="36" t="s">
        <v>2338</v>
      </c>
    </row>
    <row r="2517" spans="1:10" x14ac:dyDescent="0.25">
      <c r="A2517" s="31" t="s">
        <v>2339</v>
      </c>
      <c r="B2517" s="31">
        <v>60.060200000000002</v>
      </c>
      <c r="C2517" s="32" t="s">
        <v>14319</v>
      </c>
      <c r="D2517" s="31" t="s">
        <v>14007</v>
      </c>
      <c r="E2517" s="40" t="s">
        <v>14320</v>
      </c>
      <c r="F2517" s="31" t="s">
        <v>9732</v>
      </c>
      <c r="G2517" s="34" t="s">
        <v>9738</v>
      </c>
      <c r="I2517" s="35" t="s">
        <v>14316</v>
      </c>
      <c r="J2517" s="36" t="s">
        <v>2339</v>
      </c>
    </row>
    <row r="2518" spans="1:10" x14ac:dyDescent="0.25">
      <c r="A2518" s="31" t="s">
        <v>2340</v>
      </c>
      <c r="B2518" s="31">
        <v>60.07</v>
      </c>
      <c r="C2518" s="32" t="s">
        <v>14321</v>
      </c>
      <c r="D2518" s="31" t="s">
        <v>14007</v>
      </c>
      <c r="E2518" s="40" t="s">
        <v>9739</v>
      </c>
      <c r="F2518" s="31" t="s">
        <v>9732</v>
      </c>
      <c r="G2518" s="34" t="s">
        <v>9739</v>
      </c>
      <c r="H2518" s="34" t="s">
        <v>9739</v>
      </c>
      <c r="I2518" s="35" t="s">
        <v>14321</v>
      </c>
      <c r="J2518" s="36" t="s">
        <v>2340</v>
      </c>
    </row>
    <row r="2519" spans="1:10" x14ac:dyDescent="0.25">
      <c r="A2519" s="31" t="s">
        <v>2341</v>
      </c>
      <c r="B2519" s="31">
        <v>60.070099999999996</v>
      </c>
      <c r="C2519" s="32" t="s">
        <v>14322</v>
      </c>
      <c r="D2519" s="31" t="s">
        <v>14007</v>
      </c>
      <c r="E2519" s="40" t="s">
        <v>14323</v>
      </c>
      <c r="F2519" s="31" t="s">
        <v>9732</v>
      </c>
      <c r="G2519" s="34" t="s">
        <v>9739</v>
      </c>
      <c r="I2519" s="35" t="s">
        <v>14321</v>
      </c>
      <c r="J2519" s="36" t="s">
        <v>2341</v>
      </c>
    </row>
    <row r="2520" spans="1:10" x14ac:dyDescent="0.25">
      <c r="A2520" s="31" t="s">
        <v>2342</v>
      </c>
      <c r="B2520" s="31">
        <v>60.0702</v>
      </c>
      <c r="C2520" s="32" t="s">
        <v>14324</v>
      </c>
      <c r="D2520" s="31" t="s">
        <v>14007</v>
      </c>
      <c r="E2520" s="40" t="s">
        <v>14325</v>
      </c>
      <c r="F2520" s="31" t="s">
        <v>9732</v>
      </c>
      <c r="G2520" s="34" t="s">
        <v>9739</v>
      </c>
      <c r="I2520" s="35" t="s">
        <v>14321</v>
      </c>
      <c r="J2520" s="36" t="s">
        <v>2342</v>
      </c>
    </row>
    <row r="2521" spans="1:10" x14ac:dyDescent="0.25">
      <c r="A2521" s="31" t="s">
        <v>2343</v>
      </c>
      <c r="B2521" s="31">
        <v>60.070300000000003</v>
      </c>
      <c r="C2521" s="32" t="s">
        <v>14326</v>
      </c>
      <c r="D2521" s="31" t="s">
        <v>14007</v>
      </c>
      <c r="E2521" s="40" t="s">
        <v>14327</v>
      </c>
      <c r="F2521" s="31" t="s">
        <v>9732</v>
      </c>
      <c r="G2521" s="34" t="s">
        <v>9739</v>
      </c>
      <c r="I2521" s="35" t="s">
        <v>14321</v>
      </c>
      <c r="J2521" s="36" t="s">
        <v>2343</v>
      </c>
    </row>
    <row r="2522" spans="1:10" x14ac:dyDescent="0.25">
      <c r="A2522" s="31" t="s">
        <v>2344</v>
      </c>
      <c r="B2522" s="31">
        <v>60.070399999999999</v>
      </c>
      <c r="C2522" s="32" t="s">
        <v>14328</v>
      </c>
      <c r="D2522" s="31" t="s">
        <v>14007</v>
      </c>
      <c r="E2522" s="40" t="s">
        <v>14329</v>
      </c>
      <c r="F2522" s="31" t="s">
        <v>9732</v>
      </c>
      <c r="G2522" s="34" t="s">
        <v>9739</v>
      </c>
      <c r="I2522" s="35" t="s">
        <v>14321</v>
      </c>
      <c r="J2522" s="36" t="s">
        <v>2344</v>
      </c>
    </row>
    <row r="2523" spans="1:10" x14ac:dyDescent="0.25">
      <c r="A2523" s="31" t="s">
        <v>2345</v>
      </c>
      <c r="B2523" s="31">
        <v>60.070500000000003</v>
      </c>
      <c r="C2523" s="32" t="s">
        <v>14330</v>
      </c>
      <c r="D2523" s="31" t="s">
        <v>14007</v>
      </c>
      <c r="E2523" s="40" t="s">
        <v>14331</v>
      </c>
      <c r="F2523" s="31" t="s">
        <v>9732</v>
      </c>
      <c r="G2523" s="34" t="s">
        <v>9739</v>
      </c>
      <c r="I2523" s="35" t="s">
        <v>14321</v>
      </c>
      <c r="J2523" s="36" t="s">
        <v>2345</v>
      </c>
    </row>
    <row r="2524" spans="1:10" x14ac:dyDescent="0.25">
      <c r="A2524" s="31" t="s">
        <v>2346</v>
      </c>
      <c r="B2524" s="31">
        <v>60.070599999999999</v>
      </c>
      <c r="C2524" s="32" t="s">
        <v>14332</v>
      </c>
      <c r="D2524" s="31" t="s">
        <v>14007</v>
      </c>
      <c r="E2524" s="40" t="s">
        <v>14333</v>
      </c>
      <c r="F2524" s="31" t="s">
        <v>9732</v>
      </c>
      <c r="G2524" s="34" t="s">
        <v>9739</v>
      </c>
      <c r="I2524" s="35" t="s">
        <v>14321</v>
      </c>
      <c r="J2524" s="36" t="s">
        <v>2346</v>
      </c>
    </row>
    <row r="2525" spans="1:10" x14ac:dyDescent="0.25">
      <c r="A2525" s="31" t="s">
        <v>2347</v>
      </c>
      <c r="B2525" s="31">
        <v>60.070700000000002</v>
      </c>
      <c r="C2525" s="32" t="s">
        <v>14334</v>
      </c>
      <c r="D2525" s="31" t="s">
        <v>14007</v>
      </c>
      <c r="E2525" s="40" t="s">
        <v>14335</v>
      </c>
      <c r="F2525" s="31" t="s">
        <v>9732</v>
      </c>
      <c r="G2525" s="34" t="s">
        <v>9739</v>
      </c>
      <c r="I2525" s="35" t="s">
        <v>14321</v>
      </c>
      <c r="J2525" s="36" t="s">
        <v>2347</v>
      </c>
    </row>
    <row r="2526" spans="1:10" x14ac:dyDescent="0.25">
      <c r="A2526" s="31" t="s">
        <v>2348</v>
      </c>
      <c r="B2526" s="31">
        <v>60.070799999999998</v>
      </c>
      <c r="C2526" s="32" t="s">
        <v>14336</v>
      </c>
      <c r="D2526" s="31" t="s">
        <v>14007</v>
      </c>
      <c r="E2526" s="40" t="s">
        <v>14337</v>
      </c>
      <c r="F2526" s="31" t="s">
        <v>9732</v>
      </c>
      <c r="G2526" s="34" t="s">
        <v>9739</v>
      </c>
      <c r="I2526" s="35" t="s">
        <v>14321</v>
      </c>
      <c r="J2526" s="36" t="s">
        <v>2348</v>
      </c>
    </row>
    <row r="2527" spans="1:10" x14ac:dyDescent="0.25">
      <c r="A2527" s="31" t="s">
        <v>2349</v>
      </c>
      <c r="B2527" s="31">
        <v>60.070900000000002</v>
      </c>
      <c r="C2527" s="32" t="s">
        <v>14338</v>
      </c>
      <c r="D2527" s="31" t="s">
        <v>14007</v>
      </c>
      <c r="E2527" s="40" t="s">
        <v>14339</v>
      </c>
      <c r="F2527" s="31" t="s">
        <v>9732</v>
      </c>
      <c r="G2527" s="34" t="s">
        <v>9739</v>
      </c>
      <c r="I2527" s="35" t="s">
        <v>14321</v>
      </c>
      <c r="J2527" s="36" t="s">
        <v>2349</v>
      </c>
    </row>
    <row r="2528" spans="1:10" x14ac:dyDescent="0.25">
      <c r="A2528" s="31" t="s">
        <v>2350</v>
      </c>
      <c r="B2528" s="31">
        <v>60.070999999999998</v>
      </c>
      <c r="C2528" s="32" t="s">
        <v>14340</v>
      </c>
      <c r="D2528" s="31" t="s">
        <v>14007</v>
      </c>
      <c r="E2528" s="40" t="s">
        <v>14341</v>
      </c>
      <c r="F2528" s="31" t="s">
        <v>9732</v>
      </c>
      <c r="G2528" s="34" t="s">
        <v>9739</v>
      </c>
      <c r="I2528" s="35" t="s">
        <v>14321</v>
      </c>
      <c r="J2528" s="36" t="s">
        <v>2350</v>
      </c>
    </row>
    <row r="2529" spans="1:10" x14ac:dyDescent="0.25">
      <c r="A2529" s="31" t="s">
        <v>2351</v>
      </c>
      <c r="B2529" s="31">
        <v>60.071100000000001</v>
      </c>
      <c r="C2529" s="32" t="s">
        <v>14342</v>
      </c>
      <c r="D2529" s="31" t="s">
        <v>14007</v>
      </c>
      <c r="E2529" s="40" t="s">
        <v>14343</v>
      </c>
      <c r="F2529" s="31" t="s">
        <v>9732</v>
      </c>
      <c r="G2529" s="34" t="s">
        <v>9739</v>
      </c>
      <c r="I2529" s="35" t="s">
        <v>14321</v>
      </c>
      <c r="J2529" s="36" t="s">
        <v>2351</v>
      </c>
    </row>
    <row r="2530" spans="1:10" x14ac:dyDescent="0.25">
      <c r="A2530" s="31" t="s">
        <v>2352</v>
      </c>
      <c r="B2530" s="31">
        <v>60.071199999999997</v>
      </c>
      <c r="C2530" s="32" t="s">
        <v>14344</v>
      </c>
      <c r="D2530" s="31" t="s">
        <v>14007</v>
      </c>
      <c r="E2530" s="40" t="s">
        <v>14345</v>
      </c>
      <c r="F2530" s="31" t="s">
        <v>9732</v>
      </c>
      <c r="G2530" s="34" t="s">
        <v>9739</v>
      </c>
      <c r="I2530" s="35" t="s">
        <v>14321</v>
      </c>
      <c r="J2530" s="36" t="s">
        <v>2352</v>
      </c>
    </row>
    <row r="2531" spans="1:10" x14ac:dyDescent="0.25">
      <c r="A2531" s="31" t="s">
        <v>2353</v>
      </c>
      <c r="B2531" s="31">
        <v>60.071300000000001</v>
      </c>
      <c r="C2531" s="32" t="s">
        <v>14346</v>
      </c>
      <c r="D2531" s="31" t="s">
        <v>14007</v>
      </c>
      <c r="E2531" s="40" t="s">
        <v>14347</v>
      </c>
      <c r="F2531" s="31" t="s">
        <v>9732</v>
      </c>
      <c r="G2531" s="34" t="s">
        <v>9739</v>
      </c>
      <c r="I2531" s="35" t="s">
        <v>14321</v>
      </c>
      <c r="J2531" s="36" t="s">
        <v>2353</v>
      </c>
    </row>
    <row r="2532" spans="1:10" x14ac:dyDescent="0.25">
      <c r="A2532" s="31" t="s">
        <v>2354</v>
      </c>
      <c r="B2532" s="31">
        <v>60.071399999999997</v>
      </c>
      <c r="C2532" s="32" t="s">
        <v>14348</v>
      </c>
      <c r="D2532" s="31" t="s">
        <v>14007</v>
      </c>
      <c r="E2532" s="40" t="s">
        <v>14349</v>
      </c>
      <c r="F2532" s="31" t="s">
        <v>9732</v>
      </c>
      <c r="G2532" s="34" t="s">
        <v>9739</v>
      </c>
      <c r="I2532" s="35" t="s">
        <v>14321</v>
      </c>
      <c r="J2532" s="36" t="s">
        <v>2354</v>
      </c>
    </row>
    <row r="2533" spans="1:10" x14ac:dyDescent="0.25">
      <c r="A2533" s="31" t="s">
        <v>2355</v>
      </c>
      <c r="B2533" s="31">
        <v>60.0715</v>
      </c>
      <c r="C2533" s="32" t="s">
        <v>14350</v>
      </c>
      <c r="D2533" s="31" t="s">
        <v>14007</v>
      </c>
      <c r="E2533" s="40" t="s">
        <v>14351</v>
      </c>
      <c r="F2533" s="31" t="s">
        <v>9732</v>
      </c>
      <c r="G2533" s="34" t="s">
        <v>9739</v>
      </c>
      <c r="I2533" s="35" t="s">
        <v>14321</v>
      </c>
      <c r="J2533" s="36" t="s">
        <v>2355</v>
      </c>
    </row>
    <row r="2534" spans="1:10" x14ac:dyDescent="0.25">
      <c r="A2534" s="31" t="s">
        <v>2356</v>
      </c>
      <c r="B2534" s="31">
        <v>60.071599999999997</v>
      </c>
      <c r="C2534" s="32" t="s">
        <v>14352</v>
      </c>
      <c r="D2534" s="31" t="s">
        <v>14007</v>
      </c>
      <c r="E2534" s="40" t="s">
        <v>14353</v>
      </c>
      <c r="F2534" s="31" t="s">
        <v>9732</v>
      </c>
      <c r="G2534" s="34" t="s">
        <v>9739</v>
      </c>
      <c r="I2534" s="35" t="s">
        <v>14321</v>
      </c>
      <c r="J2534" s="36" t="s">
        <v>2356</v>
      </c>
    </row>
    <row r="2535" spans="1:10" x14ac:dyDescent="0.25">
      <c r="A2535" s="31" t="s">
        <v>2357</v>
      </c>
      <c r="B2535" s="31">
        <v>60.0717</v>
      </c>
      <c r="C2535" s="32" t="s">
        <v>14354</v>
      </c>
      <c r="D2535" s="31" t="s">
        <v>14007</v>
      </c>
      <c r="E2535" s="40" t="s">
        <v>14355</v>
      </c>
      <c r="F2535" s="31" t="s">
        <v>9732</v>
      </c>
      <c r="G2535" s="34" t="s">
        <v>9739</v>
      </c>
      <c r="I2535" s="35" t="s">
        <v>14321</v>
      </c>
      <c r="J2535" s="36" t="s">
        <v>2357</v>
      </c>
    </row>
    <row r="2536" spans="1:10" x14ac:dyDescent="0.25">
      <c r="A2536" s="31" t="s">
        <v>2358</v>
      </c>
      <c r="B2536" s="31">
        <v>60.071800000000003</v>
      </c>
      <c r="C2536" s="32" t="s">
        <v>14356</v>
      </c>
      <c r="D2536" s="31" t="s">
        <v>14007</v>
      </c>
      <c r="E2536" s="40" t="s">
        <v>14357</v>
      </c>
      <c r="F2536" s="31" t="s">
        <v>9732</v>
      </c>
      <c r="G2536" s="34" t="s">
        <v>9739</v>
      </c>
      <c r="I2536" s="35" t="s">
        <v>14321</v>
      </c>
      <c r="J2536" s="36" t="s">
        <v>2358</v>
      </c>
    </row>
    <row r="2537" spans="1:10" x14ac:dyDescent="0.25">
      <c r="A2537" s="31" t="s">
        <v>2359</v>
      </c>
      <c r="B2537" s="31">
        <v>60.071899999999999</v>
      </c>
      <c r="C2537" s="32" t="s">
        <v>14358</v>
      </c>
      <c r="D2537" s="31" t="s">
        <v>14007</v>
      </c>
      <c r="E2537" s="40" t="s">
        <v>14359</v>
      </c>
      <c r="F2537" s="31" t="s">
        <v>9732</v>
      </c>
      <c r="G2537" s="34" t="s">
        <v>9739</v>
      </c>
      <c r="I2537" s="35" t="s">
        <v>14321</v>
      </c>
      <c r="J2537" s="36" t="s">
        <v>2359</v>
      </c>
    </row>
    <row r="2538" spans="1:10" x14ac:dyDescent="0.25">
      <c r="A2538" s="31" t="s">
        <v>2360</v>
      </c>
      <c r="B2538" s="31">
        <v>60.072000000000003</v>
      </c>
      <c r="C2538" s="32" t="s">
        <v>14360</v>
      </c>
      <c r="D2538" s="31" t="s">
        <v>14007</v>
      </c>
      <c r="E2538" s="40" t="s">
        <v>14361</v>
      </c>
      <c r="F2538" s="31" t="s">
        <v>9732</v>
      </c>
      <c r="G2538" s="34" t="s">
        <v>9739</v>
      </c>
      <c r="I2538" s="35" t="s">
        <v>14321</v>
      </c>
      <c r="J2538" s="36" t="s">
        <v>2360</v>
      </c>
    </row>
    <row r="2539" spans="1:10" x14ac:dyDescent="0.25">
      <c r="A2539" s="31" t="s">
        <v>2361</v>
      </c>
      <c r="B2539" s="31">
        <v>60.072099999999999</v>
      </c>
      <c r="C2539" s="32" t="s">
        <v>14362</v>
      </c>
      <c r="D2539" s="31" t="s">
        <v>14007</v>
      </c>
      <c r="E2539" s="40" t="s">
        <v>14363</v>
      </c>
      <c r="F2539" s="31" t="s">
        <v>9732</v>
      </c>
      <c r="G2539" s="34" t="s">
        <v>9739</v>
      </c>
      <c r="I2539" s="35" t="s">
        <v>14321</v>
      </c>
      <c r="J2539" s="36" t="s">
        <v>2361</v>
      </c>
    </row>
    <row r="2540" spans="1:10" x14ac:dyDescent="0.25">
      <c r="A2540" s="31" t="s">
        <v>2362</v>
      </c>
      <c r="B2540" s="31">
        <v>60.072200000000002</v>
      </c>
      <c r="C2540" s="32" t="s">
        <v>14364</v>
      </c>
      <c r="D2540" s="31" t="s">
        <v>14007</v>
      </c>
      <c r="E2540" s="40" t="s">
        <v>14365</v>
      </c>
      <c r="F2540" s="31" t="s">
        <v>9732</v>
      </c>
      <c r="G2540" s="34" t="s">
        <v>9739</v>
      </c>
      <c r="I2540" s="35" t="s">
        <v>14321</v>
      </c>
      <c r="J2540" s="36" t="s">
        <v>2362</v>
      </c>
    </row>
    <row r="2541" spans="1:10" x14ac:dyDescent="0.25">
      <c r="A2541" s="31" t="s">
        <v>2363</v>
      </c>
      <c r="B2541" s="31">
        <v>60.072299999999998</v>
      </c>
      <c r="C2541" s="32" t="s">
        <v>14366</v>
      </c>
      <c r="D2541" s="31" t="s">
        <v>14007</v>
      </c>
      <c r="E2541" s="40" t="s">
        <v>14367</v>
      </c>
      <c r="F2541" s="31" t="s">
        <v>9732</v>
      </c>
      <c r="G2541" s="34" t="s">
        <v>9739</v>
      </c>
      <c r="I2541" s="35" t="s">
        <v>14321</v>
      </c>
      <c r="J2541" s="36" t="s">
        <v>2363</v>
      </c>
    </row>
    <row r="2542" spans="1:10" x14ac:dyDescent="0.25">
      <c r="A2542" s="31" t="s">
        <v>2364</v>
      </c>
      <c r="B2542" s="31">
        <v>60.072400000000002</v>
      </c>
      <c r="C2542" s="32" t="s">
        <v>14368</v>
      </c>
      <c r="D2542" s="31" t="s">
        <v>14007</v>
      </c>
      <c r="E2542" s="40" t="s">
        <v>14369</v>
      </c>
      <c r="F2542" s="31" t="s">
        <v>9732</v>
      </c>
      <c r="G2542" s="34" t="s">
        <v>9739</v>
      </c>
      <c r="I2542" s="35" t="s">
        <v>14321</v>
      </c>
      <c r="J2542" s="36" t="s">
        <v>2364</v>
      </c>
    </row>
    <row r="2543" spans="1:10" x14ac:dyDescent="0.25">
      <c r="A2543" s="31" t="s">
        <v>2365</v>
      </c>
      <c r="B2543" s="31">
        <v>60.072499999999998</v>
      </c>
      <c r="C2543" s="32" t="s">
        <v>14370</v>
      </c>
      <c r="D2543" s="31" t="s">
        <v>14007</v>
      </c>
      <c r="E2543" s="40" t="s">
        <v>14371</v>
      </c>
      <c r="F2543" s="31" t="s">
        <v>9732</v>
      </c>
      <c r="G2543" s="34" t="s">
        <v>9739</v>
      </c>
      <c r="I2543" s="35" t="s">
        <v>14321</v>
      </c>
      <c r="J2543" s="36" t="s">
        <v>2365</v>
      </c>
    </row>
    <row r="2544" spans="1:10" x14ac:dyDescent="0.25">
      <c r="A2544" s="31" t="s">
        <v>2366</v>
      </c>
      <c r="B2544" s="31">
        <v>60.072600000000001</v>
      </c>
      <c r="C2544" s="32" t="s">
        <v>14372</v>
      </c>
      <c r="D2544" s="31" t="s">
        <v>14007</v>
      </c>
      <c r="E2544" s="40" t="s">
        <v>14373</v>
      </c>
      <c r="F2544" s="31" t="s">
        <v>9732</v>
      </c>
      <c r="G2544" s="34" t="s">
        <v>9739</v>
      </c>
      <c r="I2544" s="35" t="s">
        <v>14321</v>
      </c>
      <c r="J2544" s="36" t="s">
        <v>2366</v>
      </c>
    </row>
    <row r="2545" spans="1:10" x14ac:dyDescent="0.25">
      <c r="A2545" s="31" t="s">
        <v>2367</v>
      </c>
      <c r="B2545" s="31">
        <v>60.072699999999998</v>
      </c>
      <c r="C2545" s="32" t="s">
        <v>14374</v>
      </c>
      <c r="D2545" s="31" t="s">
        <v>14007</v>
      </c>
      <c r="E2545" s="40" t="s">
        <v>14375</v>
      </c>
      <c r="F2545" s="31" t="s">
        <v>9732</v>
      </c>
      <c r="G2545" s="34" t="s">
        <v>9739</v>
      </c>
      <c r="I2545" s="35" t="s">
        <v>14321</v>
      </c>
      <c r="J2545" s="36" t="s">
        <v>2367</v>
      </c>
    </row>
    <row r="2546" spans="1:10" x14ac:dyDescent="0.25">
      <c r="A2546" s="31" t="s">
        <v>2368</v>
      </c>
      <c r="B2546" s="31">
        <v>60.072800000000001</v>
      </c>
      <c r="C2546" s="32" t="s">
        <v>14376</v>
      </c>
      <c r="D2546" s="31" t="s">
        <v>14007</v>
      </c>
      <c r="E2546" s="40" t="s">
        <v>14377</v>
      </c>
      <c r="F2546" s="31" t="s">
        <v>9732</v>
      </c>
      <c r="G2546" s="34" t="s">
        <v>9739</v>
      </c>
      <c r="I2546" s="35" t="s">
        <v>14321</v>
      </c>
      <c r="J2546" s="36" t="s">
        <v>2368</v>
      </c>
    </row>
    <row r="2547" spans="1:10" x14ac:dyDescent="0.25">
      <c r="A2547" s="31" t="s">
        <v>2369</v>
      </c>
      <c r="B2547" s="31">
        <v>60.072899999999997</v>
      </c>
      <c r="C2547" s="32" t="s">
        <v>14378</v>
      </c>
      <c r="D2547" s="31" t="s">
        <v>14007</v>
      </c>
      <c r="E2547" s="40" t="s">
        <v>14379</v>
      </c>
      <c r="F2547" s="31" t="s">
        <v>9732</v>
      </c>
      <c r="G2547" s="34" t="s">
        <v>9739</v>
      </c>
      <c r="I2547" s="35" t="s">
        <v>14321</v>
      </c>
      <c r="J2547" s="36" t="s">
        <v>2369</v>
      </c>
    </row>
    <row r="2548" spans="1:10" x14ac:dyDescent="0.25">
      <c r="A2548" s="31" t="s">
        <v>2370</v>
      </c>
      <c r="B2548" s="31">
        <v>60.073</v>
      </c>
      <c r="C2548" s="32" t="s">
        <v>14380</v>
      </c>
      <c r="D2548" s="31" t="s">
        <v>14007</v>
      </c>
      <c r="E2548" s="40" t="s">
        <v>14381</v>
      </c>
      <c r="F2548" s="31" t="s">
        <v>9732</v>
      </c>
      <c r="G2548" s="34" t="s">
        <v>9739</v>
      </c>
      <c r="I2548" s="35" t="s">
        <v>14321</v>
      </c>
      <c r="J2548" s="36" t="s">
        <v>2370</v>
      </c>
    </row>
    <row r="2549" spans="1:10" x14ac:dyDescent="0.25">
      <c r="A2549" s="31" t="s">
        <v>2371</v>
      </c>
      <c r="B2549" s="31">
        <v>60.073099999999997</v>
      </c>
      <c r="C2549" s="32" t="s">
        <v>14382</v>
      </c>
      <c r="D2549" s="31" t="s">
        <v>14007</v>
      </c>
      <c r="E2549" s="40" t="s">
        <v>14383</v>
      </c>
      <c r="F2549" s="31" t="s">
        <v>9732</v>
      </c>
      <c r="G2549" s="34" t="s">
        <v>9739</v>
      </c>
      <c r="I2549" s="35" t="s">
        <v>14321</v>
      </c>
      <c r="J2549" s="36" t="s">
        <v>2371</v>
      </c>
    </row>
    <row r="2550" spans="1:10" x14ac:dyDescent="0.25">
      <c r="A2550" s="31" t="s">
        <v>2372</v>
      </c>
      <c r="B2550" s="31">
        <v>60.0732</v>
      </c>
      <c r="C2550" s="32" t="s">
        <v>14384</v>
      </c>
      <c r="D2550" s="31" t="s">
        <v>14007</v>
      </c>
      <c r="E2550" s="40" t="s">
        <v>14385</v>
      </c>
      <c r="F2550" s="31" t="s">
        <v>9732</v>
      </c>
      <c r="G2550" s="34" t="s">
        <v>9739</v>
      </c>
      <c r="I2550" s="35" t="s">
        <v>14321</v>
      </c>
      <c r="J2550" s="36" t="s">
        <v>2372</v>
      </c>
    </row>
    <row r="2551" spans="1:10" x14ac:dyDescent="0.25">
      <c r="A2551" s="31" t="s">
        <v>2373</v>
      </c>
      <c r="B2551" s="31">
        <v>60.073300000000003</v>
      </c>
      <c r="C2551" s="32" t="s">
        <v>14386</v>
      </c>
      <c r="D2551" s="31" t="s">
        <v>14007</v>
      </c>
      <c r="E2551" s="40" t="s">
        <v>14387</v>
      </c>
      <c r="F2551" s="31" t="s">
        <v>9732</v>
      </c>
      <c r="G2551" s="34" t="s">
        <v>9739</v>
      </c>
      <c r="I2551" s="35" t="s">
        <v>14321</v>
      </c>
      <c r="J2551" s="36" t="s">
        <v>2373</v>
      </c>
    </row>
    <row r="2552" spans="1:10" x14ac:dyDescent="0.25">
      <c r="A2552" s="31" t="s">
        <v>2374</v>
      </c>
      <c r="B2552" s="31">
        <v>60.073399999999999</v>
      </c>
      <c r="C2552" s="32" t="s">
        <v>14388</v>
      </c>
      <c r="D2552" s="31" t="s">
        <v>14007</v>
      </c>
      <c r="E2552" s="40" t="s">
        <v>14389</v>
      </c>
      <c r="F2552" s="31" t="s">
        <v>9732</v>
      </c>
      <c r="G2552" s="34" t="s">
        <v>9739</v>
      </c>
      <c r="I2552" s="35" t="s">
        <v>14321</v>
      </c>
      <c r="J2552" s="36" t="s">
        <v>2374</v>
      </c>
    </row>
    <row r="2553" spans="1:10" x14ac:dyDescent="0.25">
      <c r="A2553" s="31" t="s">
        <v>2375</v>
      </c>
      <c r="B2553" s="31">
        <v>60.073500000000003</v>
      </c>
      <c r="C2553" s="32" t="s">
        <v>14390</v>
      </c>
      <c r="D2553" s="31" t="s">
        <v>14007</v>
      </c>
      <c r="E2553" s="40" t="s">
        <v>14391</v>
      </c>
      <c r="F2553" s="31" t="s">
        <v>9732</v>
      </c>
      <c r="G2553" s="34" t="s">
        <v>9739</v>
      </c>
      <c r="I2553" s="35" t="s">
        <v>14321</v>
      </c>
      <c r="J2553" s="36" t="s">
        <v>2375</v>
      </c>
    </row>
    <row r="2554" spans="1:10" x14ac:dyDescent="0.25">
      <c r="A2554" s="31" t="s">
        <v>2376</v>
      </c>
      <c r="B2554" s="31">
        <v>60.073599999999999</v>
      </c>
      <c r="C2554" s="32" t="s">
        <v>14392</v>
      </c>
      <c r="D2554" s="31" t="s">
        <v>14007</v>
      </c>
      <c r="E2554" s="40" t="s">
        <v>14393</v>
      </c>
      <c r="F2554" s="31" t="s">
        <v>9732</v>
      </c>
      <c r="G2554" s="34" t="s">
        <v>9739</v>
      </c>
      <c r="I2554" s="35" t="s">
        <v>14321</v>
      </c>
      <c r="J2554" s="36" t="s">
        <v>2376</v>
      </c>
    </row>
    <row r="2555" spans="1:10" x14ac:dyDescent="0.25">
      <c r="A2555" s="31" t="s">
        <v>2377</v>
      </c>
      <c r="B2555" s="31">
        <v>60.073700000000002</v>
      </c>
      <c r="C2555" s="32" t="s">
        <v>14394</v>
      </c>
      <c r="D2555" s="31" t="s">
        <v>14007</v>
      </c>
      <c r="E2555" s="40" t="s">
        <v>14395</v>
      </c>
      <c r="F2555" s="31" t="s">
        <v>9732</v>
      </c>
      <c r="G2555" s="34" t="s">
        <v>9739</v>
      </c>
      <c r="I2555" s="35" t="s">
        <v>14321</v>
      </c>
      <c r="J2555" s="36" t="s">
        <v>2377</v>
      </c>
    </row>
    <row r="2556" spans="1:10" x14ac:dyDescent="0.25">
      <c r="A2556" s="31" t="s">
        <v>2378</v>
      </c>
      <c r="B2556" s="31">
        <v>60.073799999999999</v>
      </c>
      <c r="C2556" s="32" t="s">
        <v>14396</v>
      </c>
      <c r="D2556" s="31" t="s">
        <v>14007</v>
      </c>
      <c r="E2556" s="40" t="s">
        <v>14397</v>
      </c>
      <c r="F2556" s="31" t="s">
        <v>9732</v>
      </c>
      <c r="G2556" s="34" t="s">
        <v>9739</v>
      </c>
      <c r="I2556" s="35" t="s">
        <v>14321</v>
      </c>
      <c r="J2556" s="36" t="s">
        <v>2378</v>
      </c>
    </row>
    <row r="2557" spans="1:10" x14ac:dyDescent="0.25">
      <c r="A2557" s="31" t="s">
        <v>2379</v>
      </c>
      <c r="B2557" s="31">
        <v>60.073900000000002</v>
      </c>
      <c r="C2557" s="32" t="s">
        <v>14398</v>
      </c>
      <c r="D2557" s="31" t="s">
        <v>14007</v>
      </c>
      <c r="E2557" s="40" t="s">
        <v>14399</v>
      </c>
      <c r="F2557" s="31" t="s">
        <v>9732</v>
      </c>
      <c r="G2557" s="34" t="s">
        <v>9739</v>
      </c>
      <c r="I2557" s="35" t="s">
        <v>14321</v>
      </c>
      <c r="J2557" s="36" t="s">
        <v>2379</v>
      </c>
    </row>
    <row r="2558" spans="1:10" x14ac:dyDescent="0.25">
      <c r="A2558" s="31" t="s">
        <v>2380</v>
      </c>
      <c r="B2558" s="31">
        <v>60.073999999999998</v>
      </c>
      <c r="C2558" s="32" t="s">
        <v>14400</v>
      </c>
      <c r="D2558" s="31" t="s">
        <v>14007</v>
      </c>
      <c r="E2558" s="40" t="s">
        <v>14401</v>
      </c>
      <c r="F2558" s="31" t="s">
        <v>9732</v>
      </c>
      <c r="G2558" s="34" t="s">
        <v>9739</v>
      </c>
      <c r="I2558" s="35" t="s">
        <v>14321</v>
      </c>
      <c r="J2558" s="36" t="s">
        <v>2380</v>
      </c>
    </row>
    <row r="2559" spans="1:10" x14ac:dyDescent="0.25">
      <c r="A2559" s="31" t="s">
        <v>2381</v>
      </c>
      <c r="B2559" s="31">
        <v>60.074100000000001</v>
      </c>
      <c r="C2559" s="32" t="s">
        <v>14402</v>
      </c>
      <c r="D2559" s="31" t="s">
        <v>14007</v>
      </c>
      <c r="E2559" s="40" t="s">
        <v>14403</v>
      </c>
      <c r="F2559" s="31" t="s">
        <v>9732</v>
      </c>
      <c r="G2559" s="34" t="s">
        <v>9739</v>
      </c>
      <c r="I2559" s="35" t="s">
        <v>14321</v>
      </c>
      <c r="J2559" s="36" t="s">
        <v>2381</v>
      </c>
    </row>
    <row r="2560" spans="1:10" x14ac:dyDescent="0.25">
      <c r="A2560" s="31" t="s">
        <v>2382</v>
      </c>
      <c r="B2560" s="31">
        <v>60.074199999999998</v>
      </c>
      <c r="C2560" s="32" t="s">
        <v>14404</v>
      </c>
      <c r="D2560" s="31" t="s">
        <v>14007</v>
      </c>
      <c r="E2560" s="40" t="s">
        <v>14405</v>
      </c>
      <c r="F2560" s="31" t="s">
        <v>9732</v>
      </c>
      <c r="G2560" s="34" t="s">
        <v>9739</v>
      </c>
      <c r="I2560" s="35" t="s">
        <v>14321</v>
      </c>
      <c r="J2560" s="36" t="s">
        <v>2382</v>
      </c>
    </row>
    <row r="2561" spans="1:10" x14ac:dyDescent="0.25">
      <c r="A2561" s="31" t="s">
        <v>2383</v>
      </c>
      <c r="B2561" s="31">
        <v>60.074300000000001</v>
      </c>
      <c r="C2561" s="32" t="s">
        <v>14406</v>
      </c>
      <c r="D2561" s="31" t="s">
        <v>14007</v>
      </c>
      <c r="E2561" s="40" t="s">
        <v>14407</v>
      </c>
      <c r="F2561" s="31" t="s">
        <v>9732</v>
      </c>
      <c r="G2561" s="34" t="s">
        <v>9739</v>
      </c>
      <c r="I2561" s="35" t="s">
        <v>14321</v>
      </c>
      <c r="J2561" s="36" t="s">
        <v>2383</v>
      </c>
    </row>
    <row r="2562" spans="1:10" x14ac:dyDescent="0.25">
      <c r="A2562" s="31" t="s">
        <v>2384</v>
      </c>
      <c r="B2562" s="31">
        <v>60.074399999999997</v>
      </c>
      <c r="C2562" s="32" t="s">
        <v>14408</v>
      </c>
      <c r="D2562" s="31" t="s">
        <v>14007</v>
      </c>
      <c r="E2562" s="40" t="s">
        <v>14409</v>
      </c>
      <c r="F2562" s="31" t="s">
        <v>9732</v>
      </c>
      <c r="G2562" s="34" t="s">
        <v>9739</v>
      </c>
      <c r="I2562" s="35" t="s">
        <v>14321</v>
      </c>
      <c r="J2562" s="36" t="s">
        <v>2384</v>
      </c>
    </row>
    <row r="2563" spans="1:10" x14ac:dyDescent="0.25">
      <c r="A2563" s="31" t="s">
        <v>2385</v>
      </c>
      <c r="B2563" s="31">
        <v>60.0745</v>
      </c>
      <c r="C2563" s="32" t="s">
        <v>14410</v>
      </c>
      <c r="D2563" s="31" t="s">
        <v>14007</v>
      </c>
      <c r="E2563" s="40" t="s">
        <v>14411</v>
      </c>
      <c r="F2563" s="31" t="s">
        <v>9732</v>
      </c>
      <c r="G2563" s="34" t="s">
        <v>9739</v>
      </c>
      <c r="I2563" s="35" t="s">
        <v>14321</v>
      </c>
      <c r="J2563" s="36" t="s">
        <v>2385</v>
      </c>
    </row>
    <row r="2564" spans="1:10" x14ac:dyDescent="0.25">
      <c r="A2564" s="31" t="s">
        <v>2386</v>
      </c>
      <c r="B2564" s="31">
        <v>60.074599999999997</v>
      </c>
      <c r="C2564" s="32" t="s">
        <v>14412</v>
      </c>
      <c r="D2564" s="31" t="s">
        <v>14007</v>
      </c>
      <c r="E2564" s="40" t="s">
        <v>14413</v>
      </c>
      <c r="F2564" s="31" t="s">
        <v>9732</v>
      </c>
      <c r="G2564" s="34" t="s">
        <v>9739</v>
      </c>
      <c r="I2564" s="35" t="s">
        <v>14321</v>
      </c>
      <c r="J2564" s="36" t="s">
        <v>2386</v>
      </c>
    </row>
    <row r="2565" spans="1:10" x14ac:dyDescent="0.25">
      <c r="A2565" s="31" t="s">
        <v>2387</v>
      </c>
      <c r="B2565" s="31">
        <v>60.0747</v>
      </c>
      <c r="C2565" s="32" t="s">
        <v>14414</v>
      </c>
      <c r="D2565" s="31" t="s">
        <v>14007</v>
      </c>
      <c r="E2565" s="40" t="s">
        <v>14415</v>
      </c>
      <c r="F2565" s="31" t="s">
        <v>9732</v>
      </c>
      <c r="G2565" s="34" t="s">
        <v>9739</v>
      </c>
      <c r="I2565" s="35" t="s">
        <v>14321</v>
      </c>
      <c r="J2565" s="36" t="s">
        <v>2387</v>
      </c>
    </row>
    <row r="2566" spans="1:10" x14ac:dyDescent="0.25">
      <c r="A2566" s="31" t="s">
        <v>2388</v>
      </c>
      <c r="B2566" s="31">
        <v>60.074800000000003</v>
      </c>
      <c r="C2566" s="32" t="s">
        <v>14416</v>
      </c>
      <c r="D2566" s="31" t="s">
        <v>14007</v>
      </c>
      <c r="E2566" s="40" t="s">
        <v>14417</v>
      </c>
      <c r="F2566" s="31" t="s">
        <v>9732</v>
      </c>
      <c r="G2566" s="34" t="s">
        <v>9739</v>
      </c>
      <c r="I2566" s="35" t="s">
        <v>14321</v>
      </c>
      <c r="J2566" s="36" t="s">
        <v>2388</v>
      </c>
    </row>
    <row r="2567" spans="1:10" x14ac:dyDescent="0.25">
      <c r="A2567" s="31" t="s">
        <v>2389</v>
      </c>
      <c r="B2567" s="31">
        <v>60.0749</v>
      </c>
      <c r="C2567" s="32" t="s">
        <v>14418</v>
      </c>
      <c r="D2567" s="31" t="s">
        <v>14007</v>
      </c>
      <c r="E2567" s="40" t="s">
        <v>14419</v>
      </c>
      <c r="F2567" s="31" t="s">
        <v>9732</v>
      </c>
      <c r="G2567" s="34" t="s">
        <v>9739</v>
      </c>
      <c r="I2567" s="35" t="s">
        <v>14321</v>
      </c>
      <c r="J2567" s="36" t="s">
        <v>2389</v>
      </c>
    </row>
    <row r="2568" spans="1:10" x14ac:dyDescent="0.25">
      <c r="A2568" s="31" t="s">
        <v>2390</v>
      </c>
      <c r="B2568" s="31">
        <v>60.075000000000003</v>
      </c>
      <c r="C2568" s="32" t="s">
        <v>14420</v>
      </c>
      <c r="D2568" s="31" t="s">
        <v>14007</v>
      </c>
      <c r="E2568" s="40" t="s">
        <v>14421</v>
      </c>
      <c r="F2568" s="31" t="s">
        <v>9732</v>
      </c>
      <c r="G2568" s="34" t="s">
        <v>9739</v>
      </c>
      <c r="I2568" s="35" t="s">
        <v>14321</v>
      </c>
      <c r="J2568" s="36" t="s">
        <v>2390</v>
      </c>
    </row>
    <row r="2569" spans="1:10" x14ac:dyDescent="0.25">
      <c r="A2569" s="31" t="s">
        <v>2391</v>
      </c>
      <c r="B2569" s="31">
        <v>60.075099999999999</v>
      </c>
      <c r="C2569" s="32" t="s">
        <v>14422</v>
      </c>
      <c r="D2569" s="31" t="s">
        <v>14007</v>
      </c>
      <c r="E2569" s="40" t="s">
        <v>14423</v>
      </c>
      <c r="F2569" s="31" t="s">
        <v>9732</v>
      </c>
      <c r="G2569" s="34" t="s">
        <v>9739</v>
      </c>
      <c r="I2569" s="35" t="s">
        <v>14321</v>
      </c>
      <c r="J2569" s="36" t="s">
        <v>2391</v>
      </c>
    </row>
    <row r="2570" spans="1:10" x14ac:dyDescent="0.25">
      <c r="A2570" s="31" t="s">
        <v>2392</v>
      </c>
      <c r="B2570" s="31">
        <v>60.079900000000002</v>
      </c>
      <c r="C2570" s="32" t="s">
        <v>14424</v>
      </c>
      <c r="D2570" s="31" t="s">
        <v>14007</v>
      </c>
      <c r="E2570" s="40" t="s">
        <v>14425</v>
      </c>
      <c r="F2570" s="31" t="s">
        <v>9732</v>
      </c>
      <c r="G2570" s="34" t="s">
        <v>9739</v>
      </c>
      <c r="I2570" s="35" t="s">
        <v>14321</v>
      </c>
      <c r="J2570" s="36" t="s">
        <v>2392</v>
      </c>
    </row>
    <row r="2571" spans="1:10" x14ac:dyDescent="0.25">
      <c r="A2571" s="31" t="s">
        <v>2393</v>
      </c>
      <c r="B2571" s="31">
        <v>60.08</v>
      </c>
      <c r="C2571" s="32" t="s">
        <v>14426</v>
      </c>
      <c r="D2571" s="31" t="s">
        <v>14007</v>
      </c>
      <c r="E2571" s="40" t="s">
        <v>9740</v>
      </c>
      <c r="F2571" s="31" t="s">
        <v>9732</v>
      </c>
      <c r="G2571" s="34" t="s">
        <v>9740</v>
      </c>
      <c r="H2571" s="34" t="s">
        <v>9740</v>
      </c>
      <c r="I2571" s="35" t="s">
        <v>14426</v>
      </c>
      <c r="J2571" s="36" t="s">
        <v>2393</v>
      </c>
    </row>
    <row r="2572" spans="1:10" x14ac:dyDescent="0.25">
      <c r="A2572" s="31" t="s">
        <v>2394</v>
      </c>
      <c r="B2572" s="31">
        <v>60.080100000000002</v>
      </c>
      <c r="C2572" s="32" t="s">
        <v>14427</v>
      </c>
      <c r="D2572" s="31" t="s">
        <v>14007</v>
      </c>
      <c r="E2572" s="40" t="s">
        <v>14428</v>
      </c>
      <c r="F2572" s="31" t="s">
        <v>9732</v>
      </c>
      <c r="G2572" s="34" t="s">
        <v>9740</v>
      </c>
      <c r="I2572" s="35" t="s">
        <v>14426</v>
      </c>
      <c r="J2572" s="36" t="s">
        <v>2394</v>
      </c>
    </row>
    <row r="2573" spans="1:10" x14ac:dyDescent="0.25">
      <c r="A2573" s="31" t="s">
        <v>2395</v>
      </c>
      <c r="B2573" s="31">
        <v>60.080199999999998</v>
      </c>
      <c r="C2573" s="32" t="s">
        <v>14429</v>
      </c>
      <c r="D2573" s="31" t="s">
        <v>14007</v>
      </c>
      <c r="E2573" s="40" t="s">
        <v>14430</v>
      </c>
      <c r="F2573" s="31" t="s">
        <v>9732</v>
      </c>
      <c r="G2573" s="34" t="s">
        <v>9740</v>
      </c>
      <c r="I2573" s="35" t="s">
        <v>14426</v>
      </c>
      <c r="J2573" s="36" t="s">
        <v>2395</v>
      </c>
    </row>
    <row r="2574" spans="1:10" x14ac:dyDescent="0.25">
      <c r="A2574" s="31" t="s">
        <v>2396</v>
      </c>
      <c r="B2574" s="31">
        <v>60.080300000000001</v>
      </c>
      <c r="C2574" s="32" t="s">
        <v>14431</v>
      </c>
      <c r="D2574" s="31" t="s">
        <v>14007</v>
      </c>
      <c r="E2574" s="40" t="s">
        <v>14432</v>
      </c>
      <c r="F2574" s="31" t="s">
        <v>9732</v>
      </c>
      <c r="G2574" s="34" t="s">
        <v>9740</v>
      </c>
      <c r="I2574" s="35" t="s">
        <v>14426</v>
      </c>
      <c r="J2574" s="36" t="s">
        <v>2396</v>
      </c>
    </row>
    <row r="2575" spans="1:10" x14ac:dyDescent="0.25">
      <c r="A2575" s="31" t="s">
        <v>2397</v>
      </c>
      <c r="B2575" s="31">
        <v>60.080399999999997</v>
      </c>
      <c r="C2575" s="32" t="s">
        <v>14433</v>
      </c>
      <c r="D2575" s="31" t="s">
        <v>14007</v>
      </c>
      <c r="E2575" s="40" t="s">
        <v>14434</v>
      </c>
      <c r="F2575" s="31" t="s">
        <v>9732</v>
      </c>
      <c r="G2575" s="34" t="s">
        <v>9740</v>
      </c>
      <c r="I2575" s="35" t="s">
        <v>14426</v>
      </c>
      <c r="J2575" s="36" t="s">
        <v>2397</v>
      </c>
    </row>
    <row r="2576" spans="1:10" x14ac:dyDescent="0.25">
      <c r="A2576" s="31" t="s">
        <v>2398</v>
      </c>
      <c r="B2576" s="31">
        <v>60.080500000000001</v>
      </c>
      <c r="C2576" s="32" t="s">
        <v>14435</v>
      </c>
      <c r="D2576" s="31" t="s">
        <v>14007</v>
      </c>
      <c r="E2576" s="40" t="s">
        <v>14436</v>
      </c>
      <c r="F2576" s="31" t="s">
        <v>9732</v>
      </c>
      <c r="G2576" s="34" t="s">
        <v>9740</v>
      </c>
      <c r="I2576" s="35" t="s">
        <v>14426</v>
      </c>
      <c r="J2576" s="36" t="s">
        <v>2398</v>
      </c>
    </row>
    <row r="2577" spans="1:10" x14ac:dyDescent="0.25">
      <c r="A2577" s="31" t="s">
        <v>2399</v>
      </c>
      <c r="B2577" s="31">
        <v>60.080599999999997</v>
      </c>
      <c r="C2577" s="32" t="s">
        <v>14437</v>
      </c>
      <c r="D2577" s="31" t="s">
        <v>14007</v>
      </c>
      <c r="E2577" s="40" t="s">
        <v>14438</v>
      </c>
      <c r="F2577" s="31" t="s">
        <v>9732</v>
      </c>
      <c r="G2577" s="34" t="s">
        <v>9740</v>
      </c>
      <c r="I2577" s="35" t="s">
        <v>14426</v>
      </c>
      <c r="J2577" s="36" t="s">
        <v>2399</v>
      </c>
    </row>
    <row r="2578" spans="1:10" x14ac:dyDescent="0.25">
      <c r="A2578" s="31" t="s">
        <v>2400</v>
      </c>
      <c r="B2578" s="31">
        <v>60.0807</v>
      </c>
      <c r="C2578" s="32" t="s">
        <v>14439</v>
      </c>
      <c r="D2578" s="31" t="s">
        <v>14007</v>
      </c>
      <c r="E2578" s="40" t="s">
        <v>14440</v>
      </c>
      <c r="F2578" s="31" t="s">
        <v>9732</v>
      </c>
      <c r="G2578" s="34" t="s">
        <v>9740</v>
      </c>
      <c r="I2578" s="35" t="s">
        <v>14426</v>
      </c>
      <c r="J2578" s="36" t="s">
        <v>2400</v>
      </c>
    </row>
    <row r="2579" spans="1:10" x14ac:dyDescent="0.25">
      <c r="A2579" s="31" t="s">
        <v>2401</v>
      </c>
      <c r="B2579" s="31">
        <v>60.080800000000004</v>
      </c>
      <c r="C2579" s="32" t="s">
        <v>14441</v>
      </c>
      <c r="D2579" s="31" t="s">
        <v>14007</v>
      </c>
      <c r="E2579" s="40" t="s">
        <v>14442</v>
      </c>
      <c r="F2579" s="31" t="s">
        <v>9732</v>
      </c>
      <c r="G2579" s="34" t="s">
        <v>9740</v>
      </c>
      <c r="I2579" s="35" t="s">
        <v>14426</v>
      </c>
      <c r="J2579" s="36" t="s">
        <v>2401</v>
      </c>
    </row>
    <row r="2580" spans="1:10" x14ac:dyDescent="0.25">
      <c r="A2580" s="31" t="s">
        <v>2402</v>
      </c>
      <c r="B2580" s="31">
        <v>60.0809</v>
      </c>
      <c r="C2580" s="32" t="s">
        <v>14443</v>
      </c>
      <c r="D2580" s="31" t="s">
        <v>14007</v>
      </c>
      <c r="E2580" s="40" t="s">
        <v>14444</v>
      </c>
      <c r="F2580" s="31" t="s">
        <v>9732</v>
      </c>
      <c r="G2580" s="34" t="s">
        <v>9740</v>
      </c>
      <c r="I2580" s="35" t="s">
        <v>14426</v>
      </c>
      <c r="J2580" s="36" t="s">
        <v>2402</v>
      </c>
    </row>
    <row r="2581" spans="1:10" x14ac:dyDescent="0.25">
      <c r="A2581" s="31" t="s">
        <v>2403</v>
      </c>
      <c r="B2581" s="31">
        <v>60.081000000000003</v>
      </c>
      <c r="C2581" s="32" t="s">
        <v>14445</v>
      </c>
      <c r="D2581" s="31" t="s">
        <v>14007</v>
      </c>
      <c r="E2581" s="40" t="s">
        <v>14446</v>
      </c>
      <c r="F2581" s="31" t="s">
        <v>9732</v>
      </c>
      <c r="G2581" s="34" t="s">
        <v>9740</v>
      </c>
      <c r="I2581" s="35" t="s">
        <v>14426</v>
      </c>
      <c r="J2581" s="36" t="s">
        <v>2403</v>
      </c>
    </row>
    <row r="2582" spans="1:10" x14ac:dyDescent="0.25">
      <c r="A2582" s="31" t="s">
        <v>2404</v>
      </c>
      <c r="B2582" s="31">
        <v>60.081099999999999</v>
      </c>
      <c r="C2582" s="32" t="s">
        <v>14447</v>
      </c>
      <c r="D2582" s="31" t="s">
        <v>14007</v>
      </c>
      <c r="E2582" s="40" t="s">
        <v>14448</v>
      </c>
      <c r="F2582" s="31" t="s">
        <v>9732</v>
      </c>
      <c r="G2582" s="34" t="s">
        <v>9740</v>
      </c>
      <c r="I2582" s="35" t="s">
        <v>14426</v>
      </c>
      <c r="J2582" s="36" t="s">
        <v>2404</v>
      </c>
    </row>
    <row r="2583" spans="1:10" x14ac:dyDescent="0.25">
      <c r="A2583" s="31" t="s">
        <v>2405</v>
      </c>
      <c r="B2583" s="31">
        <v>60.081200000000003</v>
      </c>
      <c r="C2583" s="32" t="s">
        <v>14449</v>
      </c>
      <c r="D2583" s="31" t="s">
        <v>14007</v>
      </c>
      <c r="E2583" s="40" t="s">
        <v>14450</v>
      </c>
      <c r="F2583" s="31" t="s">
        <v>9732</v>
      </c>
      <c r="G2583" s="34" t="s">
        <v>9740</v>
      </c>
      <c r="I2583" s="35" t="s">
        <v>14426</v>
      </c>
      <c r="J2583" s="36" t="s">
        <v>2405</v>
      </c>
    </row>
    <row r="2584" spans="1:10" x14ac:dyDescent="0.25">
      <c r="A2584" s="31" t="s">
        <v>2406</v>
      </c>
      <c r="B2584" s="31">
        <v>60.081299999999999</v>
      </c>
      <c r="C2584" s="32" t="s">
        <v>14451</v>
      </c>
      <c r="D2584" s="31" t="s">
        <v>14007</v>
      </c>
      <c r="E2584" s="40" t="s">
        <v>14452</v>
      </c>
      <c r="F2584" s="31" t="s">
        <v>9732</v>
      </c>
      <c r="G2584" s="34" t="s">
        <v>9740</v>
      </c>
      <c r="I2584" s="35" t="s">
        <v>14426</v>
      </c>
      <c r="J2584" s="36" t="s">
        <v>2406</v>
      </c>
    </row>
    <row r="2585" spans="1:10" x14ac:dyDescent="0.25">
      <c r="A2585" s="31" t="s">
        <v>2407</v>
      </c>
      <c r="B2585" s="31">
        <v>60.081400000000002</v>
      </c>
      <c r="C2585" s="32" t="s">
        <v>14453</v>
      </c>
      <c r="D2585" s="31" t="s">
        <v>14007</v>
      </c>
      <c r="E2585" s="40" t="s">
        <v>14454</v>
      </c>
      <c r="F2585" s="31" t="s">
        <v>9732</v>
      </c>
      <c r="G2585" s="34" t="s">
        <v>9740</v>
      </c>
      <c r="I2585" s="35" t="s">
        <v>14426</v>
      </c>
      <c r="J2585" s="36" t="s">
        <v>2407</v>
      </c>
    </row>
    <row r="2586" spans="1:10" x14ac:dyDescent="0.25">
      <c r="A2586" s="31" t="s">
        <v>2408</v>
      </c>
      <c r="B2586" s="31">
        <v>60.081499999999998</v>
      </c>
      <c r="C2586" s="32" t="s">
        <v>14455</v>
      </c>
      <c r="D2586" s="31" t="s">
        <v>14007</v>
      </c>
      <c r="E2586" s="40" t="s">
        <v>14456</v>
      </c>
      <c r="F2586" s="31" t="s">
        <v>9732</v>
      </c>
      <c r="G2586" s="34" t="s">
        <v>9740</v>
      </c>
      <c r="I2586" s="35" t="s">
        <v>14426</v>
      </c>
      <c r="J2586" s="36" t="s">
        <v>2408</v>
      </c>
    </row>
    <row r="2587" spans="1:10" x14ac:dyDescent="0.25">
      <c r="A2587" s="31" t="s">
        <v>2409</v>
      </c>
      <c r="B2587" s="31">
        <v>60.081600000000002</v>
      </c>
      <c r="C2587" s="32" t="s">
        <v>14457</v>
      </c>
      <c r="D2587" s="31" t="s">
        <v>14007</v>
      </c>
      <c r="E2587" s="40" t="s">
        <v>14458</v>
      </c>
      <c r="F2587" s="31" t="s">
        <v>9732</v>
      </c>
      <c r="G2587" s="34" t="s">
        <v>9740</v>
      </c>
      <c r="I2587" s="35" t="s">
        <v>14426</v>
      </c>
      <c r="J2587" s="36" t="s">
        <v>2409</v>
      </c>
    </row>
    <row r="2588" spans="1:10" x14ac:dyDescent="0.25">
      <c r="A2588" s="31" t="s">
        <v>2410</v>
      </c>
      <c r="B2588" s="31">
        <v>60.081699999999998</v>
      </c>
      <c r="C2588" s="32" t="s">
        <v>14459</v>
      </c>
      <c r="D2588" s="31" t="s">
        <v>14007</v>
      </c>
      <c r="E2588" s="40" t="s">
        <v>14460</v>
      </c>
      <c r="F2588" s="31" t="s">
        <v>9732</v>
      </c>
      <c r="G2588" s="34" t="s">
        <v>9740</v>
      </c>
      <c r="I2588" s="35" t="s">
        <v>14426</v>
      </c>
      <c r="J2588" s="36" t="s">
        <v>2410</v>
      </c>
    </row>
    <row r="2589" spans="1:10" x14ac:dyDescent="0.25">
      <c r="A2589" s="31" t="s">
        <v>2411</v>
      </c>
      <c r="B2589" s="31">
        <v>60.081800000000001</v>
      </c>
      <c r="C2589" s="32" t="s">
        <v>14461</v>
      </c>
      <c r="D2589" s="31" t="s">
        <v>14007</v>
      </c>
      <c r="E2589" s="40" t="s">
        <v>14462</v>
      </c>
      <c r="F2589" s="31" t="s">
        <v>9732</v>
      </c>
      <c r="G2589" s="34" t="s">
        <v>9740</v>
      </c>
      <c r="I2589" s="35" t="s">
        <v>14426</v>
      </c>
      <c r="J2589" s="36" t="s">
        <v>2411</v>
      </c>
    </row>
    <row r="2590" spans="1:10" x14ac:dyDescent="0.25">
      <c r="A2590" s="31" t="s">
        <v>2412</v>
      </c>
      <c r="B2590" s="31">
        <v>60.081899999999997</v>
      </c>
      <c r="C2590" s="32" t="s">
        <v>14463</v>
      </c>
      <c r="D2590" s="31" t="s">
        <v>14007</v>
      </c>
      <c r="E2590" s="40" t="s">
        <v>14464</v>
      </c>
      <c r="F2590" s="31" t="s">
        <v>9732</v>
      </c>
      <c r="G2590" s="34" t="s">
        <v>9740</v>
      </c>
      <c r="I2590" s="35" t="s">
        <v>14426</v>
      </c>
      <c r="J2590" s="36" t="s">
        <v>2412</v>
      </c>
    </row>
    <row r="2591" spans="1:10" x14ac:dyDescent="0.25">
      <c r="A2591" s="31" t="s">
        <v>2413</v>
      </c>
      <c r="B2591" s="31">
        <v>60.082000000000001</v>
      </c>
      <c r="C2591" s="32" t="s">
        <v>14465</v>
      </c>
      <c r="D2591" s="31" t="s">
        <v>14007</v>
      </c>
      <c r="E2591" s="40" t="s">
        <v>14466</v>
      </c>
      <c r="F2591" s="31" t="s">
        <v>9732</v>
      </c>
      <c r="G2591" s="34" t="s">
        <v>9740</v>
      </c>
      <c r="I2591" s="35" t="s">
        <v>14426</v>
      </c>
      <c r="J2591" s="36" t="s">
        <v>2413</v>
      </c>
    </row>
    <row r="2592" spans="1:10" x14ac:dyDescent="0.25">
      <c r="A2592" s="31" t="s">
        <v>2414</v>
      </c>
      <c r="B2592" s="31">
        <v>60.082099999999997</v>
      </c>
      <c r="C2592" s="32" t="s">
        <v>14467</v>
      </c>
      <c r="D2592" s="31" t="s">
        <v>14007</v>
      </c>
      <c r="E2592" s="40" t="s">
        <v>14468</v>
      </c>
      <c r="F2592" s="31" t="s">
        <v>9732</v>
      </c>
      <c r="G2592" s="34" t="s">
        <v>9740</v>
      </c>
      <c r="I2592" s="35" t="s">
        <v>14426</v>
      </c>
      <c r="J2592" s="36" t="s">
        <v>2414</v>
      </c>
    </row>
    <row r="2593" spans="1:10" x14ac:dyDescent="0.25">
      <c r="A2593" s="31" t="s">
        <v>2415</v>
      </c>
      <c r="B2593" s="31">
        <v>60.0822</v>
      </c>
      <c r="C2593" s="32" t="s">
        <v>14469</v>
      </c>
      <c r="D2593" s="31" t="s">
        <v>14007</v>
      </c>
      <c r="E2593" s="40" t="s">
        <v>14470</v>
      </c>
      <c r="F2593" s="31" t="s">
        <v>9732</v>
      </c>
      <c r="G2593" s="34" t="s">
        <v>9740</v>
      </c>
      <c r="I2593" s="35" t="s">
        <v>14426</v>
      </c>
      <c r="J2593" s="36" t="s">
        <v>2415</v>
      </c>
    </row>
    <row r="2594" spans="1:10" x14ac:dyDescent="0.25">
      <c r="A2594" s="31" t="s">
        <v>2416</v>
      </c>
      <c r="B2594" s="31">
        <v>60.082299999999996</v>
      </c>
      <c r="C2594" s="32" t="s">
        <v>14471</v>
      </c>
      <c r="D2594" s="31" t="s">
        <v>14007</v>
      </c>
      <c r="E2594" s="40" t="s">
        <v>14472</v>
      </c>
      <c r="F2594" s="31" t="s">
        <v>9732</v>
      </c>
      <c r="G2594" s="34" t="s">
        <v>9740</v>
      </c>
      <c r="I2594" s="35" t="s">
        <v>14426</v>
      </c>
      <c r="J2594" s="36" t="s">
        <v>2416</v>
      </c>
    </row>
    <row r="2595" spans="1:10" x14ac:dyDescent="0.25">
      <c r="A2595" s="31" t="s">
        <v>2417</v>
      </c>
      <c r="B2595" s="31">
        <v>60.0824</v>
      </c>
      <c r="C2595" s="32" t="s">
        <v>14473</v>
      </c>
      <c r="D2595" s="31" t="s">
        <v>14007</v>
      </c>
      <c r="E2595" s="40" t="s">
        <v>14474</v>
      </c>
      <c r="F2595" s="31" t="s">
        <v>9732</v>
      </c>
      <c r="G2595" s="34" t="s">
        <v>9740</v>
      </c>
      <c r="I2595" s="35" t="s">
        <v>14426</v>
      </c>
      <c r="J2595" s="36" t="s">
        <v>2417</v>
      </c>
    </row>
    <row r="2596" spans="1:10" x14ac:dyDescent="0.25">
      <c r="A2596" s="31" t="s">
        <v>2418</v>
      </c>
      <c r="B2596" s="31">
        <v>60.082500000000003</v>
      </c>
      <c r="C2596" s="32" t="s">
        <v>14475</v>
      </c>
      <c r="D2596" s="31" t="s">
        <v>14007</v>
      </c>
      <c r="E2596" s="40" t="s">
        <v>14476</v>
      </c>
      <c r="F2596" s="31" t="s">
        <v>9732</v>
      </c>
      <c r="G2596" s="34" t="s">
        <v>9740</v>
      </c>
      <c r="I2596" s="35" t="s">
        <v>14426</v>
      </c>
      <c r="J2596" s="36" t="s">
        <v>2418</v>
      </c>
    </row>
    <row r="2597" spans="1:10" x14ac:dyDescent="0.25">
      <c r="A2597" s="31" t="s">
        <v>2419</v>
      </c>
      <c r="B2597" s="31">
        <v>60.082599999999999</v>
      </c>
      <c r="C2597" s="32" t="s">
        <v>14477</v>
      </c>
      <c r="D2597" s="31" t="s">
        <v>14007</v>
      </c>
      <c r="E2597" s="40" t="s">
        <v>14478</v>
      </c>
      <c r="F2597" s="31" t="s">
        <v>9732</v>
      </c>
      <c r="G2597" s="34" t="s">
        <v>9740</v>
      </c>
      <c r="I2597" s="35" t="s">
        <v>14426</v>
      </c>
      <c r="J2597" s="36" t="s">
        <v>2419</v>
      </c>
    </row>
    <row r="2598" spans="1:10" x14ac:dyDescent="0.25">
      <c r="A2598" s="31" t="s">
        <v>2420</v>
      </c>
      <c r="B2598" s="31">
        <v>60.082700000000003</v>
      </c>
      <c r="C2598" s="32" t="s">
        <v>14479</v>
      </c>
      <c r="D2598" s="31" t="s">
        <v>14007</v>
      </c>
      <c r="E2598" s="40" t="s">
        <v>14480</v>
      </c>
      <c r="F2598" s="31" t="s">
        <v>9732</v>
      </c>
      <c r="G2598" s="34" t="s">
        <v>9740</v>
      </c>
      <c r="I2598" s="35" t="s">
        <v>14426</v>
      </c>
      <c r="J2598" s="36" t="s">
        <v>2420</v>
      </c>
    </row>
    <row r="2599" spans="1:10" x14ac:dyDescent="0.25">
      <c r="A2599" s="31" t="s">
        <v>2421</v>
      </c>
      <c r="B2599" s="31">
        <v>60.082799999999999</v>
      </c>
      <c r="C2599" s="32" t="s">
        <v>14481</v>
      </c>
      <c r="D2599" s="31" t="s">
        <v>14007</v>
      </c>
      <c r="E2599" s="40" t="s">
        <v>14482</v>
      </c>
      <c r="F2599" s="31" t="s">
        <v>9732</v>
      </c>
      <c r="G2599" s="34" t="s">
        <v>9740</v>
      </c>
      <c r="I2599" s="35" t="s">
        <v>14426</v>
      </c>
      <c r="J2599" s="36" t="s">
        <v>2421</v>
      </c>
    </row>
    <row r="2600" spans="1:10" x14ac:dyDescent="0.25">
      <c r="A2600" s="31" t="s">
        <v>2422</v>
      </c>
      <c r="B2600" s="31">
        <v>60.082900000000002</v>
      </c>
      <c r="C2600" s="32" t="s">
        <v>14483</v>
      </c>
      <c r="D2600" s="31" t="s">
        <v>14007</v>
      </c>
      <c r="E2600" s="40" t="s">
        <v>14484</v>
      </c>
      <c r="F2600" s="31" t="s">
        <v>9732</v>
      </c>
      <c r="G2600" s="34" t="s">
        <v>9740</v>
      </c>
      <c r="I2600" s="35" t="s">
        <v>14426</v>
      </c>
      <c r="J2600" s="36" t="s">
        <v>2422</v>
      </c>
    </row>
    <row r="2601" spans="1:10" x14ac:dyDescent="0.25">
      <c r="A2601" s="31" t="s">
        <v>2423</v>
      </c>
      <c r="B2601" s="31">
        <v>60.082999999999998</v>
      </c>
      <c r="C2601" s="32" t="s">
        <v>14485</v>
      </c>
      <c r="D2601" s="31" t="s">
        <v>14007</v>
      </c>
      <c r="E2601" s="40" t="s">
        <v>14486</v>
      </c>
      <c r="F2601" s="31" t="s">
        <v>9732</v>
      </c>
      <c r="G2601" s="34" t="s">
        <v>9740</v>
      </c>
      <c r="I2601" s="35" t="s">
        <v>14426</v>
      </c>
      <c r="J2601" s="36" t="s">
        <v>2423</v>
      </c>
    </row>
    <row r="2602" spans="1:10" x14ac:dyDescent="0.25">
      <c r="A2602" s="31" t="s">
        <v>2424</v>
      </c>
      <c r="B2602" s="31">
        <v>60.083100000000002</v>
      </c>
      <c r="C2602" s="32" t="s">
        <v>14487</v>
      </c>
      <c r="D2602" s="31" t="s">
        <v>14007</v>
      </c>
      <c r="E2602" s="40" t="s">
        <v>14488</v>
      </c>
      <c r="F2602" s="31" t="s">
        <v>9732</v>
      </c>
      <c r="G2602" s="34" t="s">
        <v>9740</v>
      </c>
      <c r="I2602" s="35" t="s">
        <v>14426</v>
      </c>
      <c r="J2602" s="36" t="s">
        <v>2424</v>
      </c>
    </row>
    <row r="2603" spans="1:10" x14ac:dyDescent="0.25">
      <c r="A2603" s="31" t="s">
        <v>2425</v>
      </c>
      <c r="B2603" s="31">
        <v>60.083199999999998</v>
      </c>
      <c r="C2603" s="32" t="s">
        <v>14489</v>
      </c>
      <c r="D2603" s="31" t="s">
        <v>14007</v>
      </c>
      <c r="E2603" s="40" t="s">
        <v>14490</v>
      </c>
      <c r="F2603" s="31" t="s">
        <v>9732</v>
      </c>
      <c r="G2603" s="34" t="s">
        <v>9740</v>
      </c>
      <c r="I2603" s="35" t="s">
        <v>14426</v>
      </c>
      <c r="J2603" s="36" t="s">
        <v>2425</v>
      </c>
    </row>
    <row r="2604" spans="1:10" x14ac:dyDescent="0.25">
      <c r="A2604" s="31" t="s">
        <v>2426</v>
      </c>
      <c r="B2604" s="31">
        <v>60.0899</v>
      </c>
      <c r="C2604" s="32" t="s">
        <v>14491</v>
      </c>
      <c r="D2604" s="31" t="s">
        <v>14007</v>
      </c>
      <c r="E2604" s="40" t="s">
        <v>14492</v>
      </c>
      <c r="F2604" s="31" t="s">
        <v>9732</v>
      </c>
      <c r="G2604" s="34" t="s">
        <v>9740</v>
      </c>
      <c r="I2604" s="35" t="s">
        <v>14426</v>
      </c>
      <c r="J2604" s="36" t="s">
        <v>2426</v>
      </c>
    </row>
    <row r="2605" spans="1:10" x14ac:dyDescent="0.25">
      <c r="A2605" s="31" t="s">
        <v>2427</v>
      </c>
      <c r="B2605" s="31">
        <v>60.09</v>
      </c>
      <c r="C2605" s="32" t="s">
        <v>14493</v>
      </c>
      <c r="D2605" s="31" t="s">
        <v>14007</v>
      </c>
      <c r="E2605" s="40" t="s">
        <v>9741</v>
      </c>
      <c r="F2605" s="31" t="s">
        <v>9732</v>
      </c>
      <c r="G2605" s="34" t="s">
        <v>9741</v>
      </c>
      <c r="H2605" s="34" t="s">
        <v>9741</v>
      </c>
      <c r="I2605" s="35" t="s">
        <v>14493</v>
      </c>
      <c r="J2605" s="36" t="s">
        <v>2427</v>
      </c>
    </row>
    <row r="2606" spans="1:10" x14ac:dyDescent="0.25">
      <c r="A2606" s="31" t="s">
        <v>2428</v>
      </c>
      <c r="B2606" s="31">
        <v>60.0901</v>
      </c>
      <c r="C2606" s="32" t="s">
        <v>14494</v>
      </c>
      <c r="D2606" s="31" t="s">
        <v>14007</v>
      </c>
      <c r="E2606" s="40" t="s">
        <v>14495</v>
      </c>
      <c r="F2606" s="31" t="s">
        <v>9732</v>
      </c>
      <c r="G2606" s="34" t="s">
        <v>9741</v>
      </c>
      <c r="I2606" s="35" t="s">
        <v>14493</v>
      </c>
      <c r="J2606" s="36" t="s">
        <v>2428</v>
      </c>
    </row>
    <row r="2607" spans="1:10" x14ac:dyDescent="0.25">
      <c r="A2607" s="31" t="s">
        <v>2429</v>
      </c>
      <c r="B2607" s="31">
        <v>60.090200000000003</v>
      </c>
      <c r="C2607" s="32" t="s">
        <v>14496</v>
      </c>
      <c r="D2607" s="31" t="s">
        <v>14007</v>
      </c>
      <c r="E2607" s="40" t="s">
        <v>14497</v>
      </c>
      <c r="F2607" s="31" t="s">
        <v>9732</v>
      </c>
      <c r="G2607" s="34" t="s">
        <v>9741</v>
      </c>
      <c r="I2607" s="35" t="s">
        <v>14493</v>
      </c>
      <c r="J2607" s="36" t="s">
        <v>2429</v>
      </c>
    </row>
    <row r="2608" spans="1:10" x14ac:dyDescent="0.25">
      <c r="A2608" s="31" t="s">
        <v>2430</v>
      </c>
      <c r="B2608" s="31">
        <v>60.090299999999999</v>
      </c>
      <c r="C2608" s="32" t="s">
        <v>14498</v>
      </c>
      <c r="D2608" s="31" t="s">
        <v>14007</v>
      </c>
      <c r="E2608" s="40" t="s">
        <v>14499</v>
      </c>
      <c r="F2608" s="31" t="s">
        <v>9732</v>
      </c>
      <c r="G2608" s="34" t="s">
        <v>9741</v>
      </c>
      <c r="I2608" s="35" t="s">
        <v>14493</v>
      </c>
      <c r="J2608" s="36" t="s">
        <v>2430</v>
      </c>
    </row>
    <row r="2609" spans="1:10" x14ac:dyDescent="0.25">
      <c r="A2609" s="31" t="s">
        <v>2431</v>
      </c>
      <c r="B2609" s="31">
        <v>60.090400000000002</v>
      </c>
      <c r="C2609" s="32" t="s">
        <v>14500</v>
      </c>
      <c r="D2609" s="31" t="s">
        <v>14007</v>
      </c>
      <c r="E2609" s="40" t="s">
        <v>14501</v>
      </c>
      <c r="F2609" s="31" t="s">
        <v>9732</v>
      </c>
      <c r="G2609" s="34" t="s">
        <v>9741</v>
      </c>
      <c r="I2609" s="35" t="s">
        <v>14493</v>
      </c>
      <c r="J2609" s="36" t="s">
        <v>2431</v>
      </c>
    </row>
    <row r="2610" spans="1:10" x14ac:dyDescent="0.25">
      <c r="A2610" s="31" t="s">
        <v>2432</v>
      </c>
      <c r="B2610" s="31">
        <v>60.090499999999999</v>
      </c>
      <c r="C2610" s="32" t="s">
        <v>14502</v>
      </c>
      <c r="D2610" s="31" t="s">
        <v>14007</v>
      </c>
      <c r="E2610" s="40" t="s">
        <v>14503</v>
      </c>
      <c r="F2610" s="31" t="s">
        <v>9732</v>
      </c>
      <c r="G2610" s="34" t="s">
        <v>9741</v>
      </c>
      <c r="I2610" s="35" t="s">
        <v>14493</v>
      </c>
      <c r="J2610" s="36" t="s">
        <v>2432</v>
      </c>
    </row>
    <row r="2611" spans="1:10" x14ac:dyDescent="0.25">
      <c r="A2611" s="31" t="s">
        <v>2433</v>
      </c>
      <c r="B2611" s="31">
        <v>60.090600000000002</v>
      </c>
      <c r="C2611" s="32" t="s">
        <v>14504</v>
      </c>
      <c r="D2611" s="31" t="s">
        <v>14007</v>
      </c>
      <c r="E2611" s="40" t="s">
        <v>14505</v>
      </c>
      <c r="F2611" s="31" t="s">
        <v>9732</v>
      </c>
      <c r="G2611" s="34" t="s">
        <v>9741</v>
      </c>
      <c r="I2611" s="35" t="s">
        <v>14493</v>
      </c>
      <c r="J2611" s="36" t="s">
        <v>2433</v>
      </c>
    </row>
    <row r="2612" spans="1:10" x14ac:dyDescent="0.25">
      <c r="A2612" s="31" t="s">
        <v>2434</v>
      </c>
      <c r="B2612" s="31">
        <v>60.090699999999998</v>
      </c>
      <c r="C2612" s="32" t="s">
        <v>14506</v>
      </c>
      <c r="D2612" s="31" t="s">
        <v>14007</v>
      </c>
      <c r="E2612" s="40" t="s">
        <v>14507</v>
      </c>
      <c r="F2612" s="31" t="s">
        <v>9732</v>
      </c>
      <c r="G2612" s="34" t="s">
        <v>9741</v>
      </c>
      <c r="I2612" s="35" t="s">
        <v>14493</v>
      </c>
      <c r="J2612" s="36" t="s">
        <v>2434</v>
      </c>
    </row>
    <row r="2613" spans="1:10" x14ac:dyDescent="0.25">
      <c r="A2613" s="31" t="s">
        <v>2435</v>
      </c>
      <c r="B2613" s="31">
        <v>60.090800000000002</v>
      </c>
      <c r="C2613" s="32" t="s">
        <v>14508</v>
      </c>
      <c r="D2613" s="31" t="s">
        <v>14007</v>
      </c>
      <c r="E2613" s="40" t="s">
        <v>14509</v>
      </c>
      <c r="F2613" s="31" t="s">
        <v>9732</v>
      </c>
      <c r="G2613" s="34" t="s">
        <v>9741</v>
      </c>
      <c r="I2613" s="35" t="s">
        <v>14493</v>
      </c>
      <c r="J2613" s="36" t="s">
        <v>2435</v>
      </c>
    </row>
    <row r="2614" spans="1:10" x14ac:dyDescent="0.25">
      <c r="A2614" s="31" t="s">
        <v>2436</v>
      </c>
      <c r="B2614" s="31">
        <v>60.090899999999998</v>
      </c>
      <c r="C2614" s="32" t="s">
        <v>14510</v>
      </c>
      <c r="D2614" s="31" t="s">
        <v>14007</v>
      </c>
      <c r="E2614" s="40" t="s">
        <v>14511</v>
      </c>
      <c r="F2614" s="31" t="s">
        <v>9732</v>
      </c>
      <c r="G2614" s="34" t="s">
        <v>9741</v>
      </c>
      <c r="I2614" s="35" t="s">
        <v>14493</v>
      </c>
      <c r="J2614" s="36" t="s">
        <v>2436</v>
      </c>
    </row>
    <row r="2615" spans="1:10" x14ac:dyDescent="0.25">
      <c r="A2615" s="31" t="s">
        <v>2437</v>
      </c>
      <c r="B2615" s="31">
        <v>60.091000000000001</v>
      </c>
      <c r="C2615" s="32" t="s">
        <v>14512</v>
      </c>
      <c r="D2615" s="31" t="s">
        <v>14007</v>
      </c>
      <c r="E2615" s="40" t="s">
        <v>14513</v>
      </c>
      <c r="F2615" s="31" t="s">
        <v>9732</v>
      </c>
      <c r="G2615" s="34" t="s">
        <v>9741</v>
      </c>
      <c r="I2615" s="35" t="s">
        <v>14493</v>
      </c>
      <c r="J2615" s="36" t="s">
        <v>2437</v>
      </c>
    </row>
    <row r="2616" spans="1:10" x14ac:dyDescent="0.25">
      <c r="A2616" s="31" t="s">
        <v>2438</v>
      </c>
      <c r="B2616" s="31">
        <v>60.091099999999997</v>
      </c>
      <c r="C2616" s="32" t="s">
        <v>14514</v>
      </c>
      <c r="D2616" s="31" t="s">
        <v>14007</v>
      </c>
      <c r="E2616" s="40" t="s">
        <v>14515</v>
      </c>
      <c r="F2616" s="31" t="s">
        <v>9732</v>
      </c>
      <c r="G2616" s="34" t="s">
        <v>9741</v>
      </c>
      <c r="I2616" s="35" t="s">
        <v>14493</v>
      </c>
      <c r="J2616" s="36" t="s">
        <v>2438</v>
      </c>
    </row>
    <row r="2617" spans="1:10" x14ac:dyDescent="0.25">
      <c r="A2617" s="31" t="s">
        <v>2439</v>
      </c>
      <c r="B2617" s="31">
        <v>60.091200000000001</v>
      </c>
      <c r="C2617" s="32" t="s">
        <v>14516</v>
      </c>
      <c r="D2617" s="31" t="s">
        <v>14007</v>
      </c>
      <c r="E2617" s="40" t="s">
        <v>14517</v>
      </c>
      <c r="F2617" s="31" t="s">
        <v>9732</v>
      </c>
      <c r="G2617" s="34" t="s">
        <v>9741</v>
      </c>
      <c r="I2617" s="35" t="s">
        <v>14493</v>
      </c>
      <c r="J2617" s="36" t="s">
        <v>2439</v>
      </c>
    </row>
    <row r="2618" spans="1:10" x14ac:dyDescent="0.25">
      <c r="A2618" s="31" t="s">
        <v>2440</v>
      </c>
      <c r="B2618" s="31">
        <v>60.091299999999997</v>
      </c>
      <c r="C2618" s="32" t="s">
        <v>14518</v>
      </c>
      <c r="D2618" s="31" t="s">
        <v>14007</v>
      </c>
      <c r="E2618" s="40" t="s">
        <v>14519</v>
      </c>
      <c r="F2618" s="31" t="s">
        <v>9732</v>
      </c>
      <c r="G2618" s="34" t="s">
        <v>9741</v>
      </c>
      <c r="I2618" s="35" t="s">
        <v>14493</v>
      </c>
      <c r="J2618" s="36" t="s">
        <v>2440</v>
      </c>
    </row>
    <row r="2619" spans="1:10" x14ac:dyDescent="0.25">
      <c r="A2619" s="31" t="s">
        <v>2441</v>
      </c>
      <c r="B2619" s="31">
        <v>60.0914</v>
      </c>
      <c r="C2619" s="32" t="s">
        <v>14520</v>
      </c>
      <c r="D2619" s="31" t="s">
        <v>14007</v>
      </c>
      <c r="E2619" s="40" t="s">
        <v>14521</v>
      </c>
      <c r="F2619" s="31" t="s">
        <v>9732</v>
      </c>
      <c r="G2619" s="34" t="s">
        <v>9741</v>
      </c>
      <c r="I2619" s="35" t="s">
        <v>14493</v>
      </c>
      <c r="J2619" s="36" t="s">
        <v>2441</v>
      </c>
    </row>
    <row r="2620" spans="1:10" x14ac:dyDescent="0.25">
      <c r="A2620" s="31" t="s">
        <v>2442</v>
      </c>
      <c r="B2620" s="31">
        <v>60.091500000000003</v>
      </c>
      <c r="C2620" s="32" t="s">
        <v>14522</v>
      </c>
      <c r="D2620" s="31" t="s">
        <v>14007</v>
      </c>
      <c r="E2620" s="40" t="s">
        <v>14523</v>
      </c>
      <c r="F2620" s="31" t="s">
        <v>9732</v>
      </c>
      <c r="G2620" s="34" t="s">
        <v>9741</v>
      </c>
      <c r="I2620" s="35" t="s">
        <v>14493</v>
      </c>
      <c r="J2620" s="36" t="s">
        <v>2442</v>
      </c>
    </row>
    <row r="2621" spans="1:10" x14ac:dyDescent="0.25">
      <c r="A2621" s="31" t="s">
        <v>2443</v>
      </c>
      <c r="B2621" s="31">
        <v>60.0916</v>
      </c>
      <c r="C2621" s="32" t="s">
        <v>14524</v>
      </c>
      <c r="D2621" s="31" t="s">
        <v>14007</v>
      </c>
      <c r="E2621" s="40" t="s">
        <v>14525</v>
      </c>
      <c r="F2621" s="31" t="s">
        <v>9732</v>
      </c>
      <c r="G2621" s="34" t="s">
        <v>9741</v>
      </c>
      <c r="I2621" s="35" t="s">
        <v>14493</v>
      </c>
      <c r="J2621" s="36" t="s">
        <v>2443</v>
      </c>
    </row>
    <row r="2622" spans="1:10" x14ac:dyDescent="0.25">
      <c r="A2622" s="31" t="s">
        <v>2444</v>
      </c>
      <c r="B2622" s="31">
        <v>60.091700000000003</v>
      </c>
      <c r="C2622" s="32" t="s">
        <v>14526</v>
      </c>
      <c r="D2622" s="31" t="s">
        <v>14007</v>
      </c>
      <c r="E2622" s="40" t="s">
        <v>14527</v>
      </c>
      <c r="F2622" s="31" t="s">
        <v>9732</v>
      </c>
      <c r="G2622" s="34" t="s">
        <v>9741</v>
      </c>
      <c r="I2622" s="35" t="s">
        <v>14493</v>
      </c>
      <c r="J2622" s="36" t="s">
        <v>2444</v>
      </c>
    </row>
    <row r="2623" spans="1:10" x14ac:dyDescent="0.25">
      <c r="A2623" s="31" t="s">
        <v>2445</v>
      </c>
      <c r="B2623" s="31">
        <v>60.091799999999999</v>
      </c>
      <c r="C2623" s="32" t="s">
        <v>14528</v>
      </c>
      <c r="D2623" s="31" t="s">
        <v>14007</v>
      </c>
      <c r="E2623" s="40" t="s">
        <v>14529</v>
      </c>
      <c r="F2623" s="31" t="s">
        <v>9732</v>
      </c>
      <c r="G2623" s="34" t="s">
        <v>9741</v>
      </c>
      <c r="I2623" s="35" t="s">
        <v>14493</v>
      </c>
      <c r="J2623" s="36" t="s">
        <v>2445</v>
      </c>
    </row>
    <row r="2624" spans="1:10" x14ac:dyDescent="0.25">
      <c r="A2624" s="31" t="s">
        <v>2446</v>
      </c>
      <c r="B2624" s="31">
        <v>60.091900000000003</v>
      </c>
      <c r="C2624" s="32" t="s">
        <v>14530</v>
      </c>
      <c r="D2624" s="31" t="s">
        <v>14007</v>
      </c>
      <c r="E2624" s="40" t="s">
        <v>14531</v>
      </c>
      <c r="F2624" s="31" t="s">
        <v>9732</v>
      </c>
      <c r="G2624" s="34" t="s">
        <v>9741</v>
      </c>
      <c r="I2624" s="35" t="s">
        <v>14493</v>
      </c>
      <c r="J2624" s="36" t="s">
        <v>2446</v>
      </c>
    </row>
    <row r="2625" spans="1:10" x14ac:dyDescent="0.25">
      <c r="A2625" s="31" t="s">
        <v>2447</v>
      </c>
      <c r="B2625" s="31">
        <v>60.091999999999999</v>
      </c>
      <c r="C2625" s="32" t="s">
        <v>14532</v>
      </c>
      <c r="D2625" s="31" t="s">
        <v>14007</v>
      </c>
      <c r="E2625" s="40" t="s">
        <v>14533</v>
      </c>
      <c r="F2625" s="31" t="s">
        <v>9732</v>
      </c>
      <c r="G2625" s="34" t="s">
        <v>9741</v>
      </c>
      <c r="I2625" s="35" t="s">
        <v>14493</v>
      </c>
      <c r="J2625" s="36" t="s">
        <v>2447</v>
      </c>
    </row>
    <row r="2626" spans="1:10" x14ac:dyDescent="0.25">
      <c r="A2626" s="31" t="s">
        <v>2448</v>
      </c>
      <c r="B2626" s="31">
        <v>60.099899999999998</v>
      </c>
      <c r="C2626" s="32" t="s">
        <v>14534</v>
      </c>
      <c r="D2626" s="31" t="s">
        <v>14007</v>
      </c>
      <c r="E2626" s="40" t="s">
        <v>14535</v>
      </c>
      <c r="F2626" s="31" t="s">
        <v>9732</v>
      </c>
      <c r="G2626" s="34" t="s">
        <v>9741</v>
      </c>
      <c r="I2626" s="35" t="s">
        <v>14493</v>
      </c>
      <c r="J2626" s="36" t="s">
        <v>2448</v>
      </c>
    </row>
    <row r="2627" spans="1:10" x14ac:dyDescent="0.25">
      <c r="A2627" s="31" t="s">
        <v>2449</v>
      </c>
      <c r="B2627" s="31">
        <v>60.99</v>
      </c>
      <c r="C2627" s="32" t="s">
        <v>14536</v>
      </c>
      <c r="D2627" s="31" t="s">
        <v>14007</v>
      </c>
      <c r="E2627" s="40" t="s">
        <v>9742</v>
      </c>
      <c r="F2627" s="31" t="s">
        <v>9732</v>
      </c>
      <c r="G2627" s="34" t="s">
        <v>9742</v>
      </c>
      <c r="H2627" s="34" t="s">
        <v>9742</v>
      </c>
      <c r="I2627" s="35" t="s">
        <v>14536</v>
      </c>
      <c r="J2627" s="36" t="s">
        <v>2449</v>
      </c>
    </row>
    <row r="2628" spans="1:10" x14ac:dyDescent="0.25">
      <c r="A2628" s="31" t="s">
        <v>2449</v>
      </c>
      <c r="B2628" s="31">
        <v>60.999899999999997</v>
      </c>
      <c r="C2628" s="32" t="s">
        <v>14537</v>
      </c>
      <c r="D2628" s="31" t="s">
        <v>14007</v>
      </c>
      <c r="E2628" s="40" t="s">
        <v>14538</v>
      </c>
      <c r="F2628" s="31" t="s">
        <v>9732</v>
      </c>
      <c r="G2628" s="34" t="s">
        <v>9742</v>
      </c>
      <c r="I2628" s="35" t="s">
        <v>14536</v>
      </c>
      <c r="J2628" s="36" t="s">
        <v>2449</v>
      </c>
    </row>
    <row r="2629" spans="1:10" x14ac:dyDescent="0.25">
      <c r="A2629" s="31" t="s">
        <v>2450</v>
      </c>
      <c r="B2629" s="31">
        <v>61</v>
      </c>
      <c r="C2629" s="32" t="s">
        <v>14539</v>
      </c>
      <c r="D2629" s="31" t="s">
        <v>14539</v>
      </c>
      <c r="E2629" s="40" t="s">
        <v>9744</v>
      </c>
      <c r="F2629" s="31" t="s">
        <v>9743</v>
      </c>
      <c r="G2629" s="34" t="s">
        <v>9744</v>
      </c>
      <c r="H2629" s="34" t="s">
        <v>9744</v>
      </c>
      <c r="I2629" s="35" t="s">
        <v>14539</v>
      </c>
      <c r="J2629" s="36" t="s">
        <v>2450</v>
      </c>
    </row>
    <row r="2630" spans="1:10" x14ac:dyDescent="0.25">
      <c r="A2630" s="31" t="s">
        <v>2451</v>
      </c>
      <c r="B2630" s="31">
        <v>61.01</v>
      </c>
      <c r="C2630" s="32" t="s">
        <v>14540</v>
      </c>
      <c r="D2630" s="31" t="s">
        <v>14539</v>
      </c>
      <c r="E2630" s="40" t="s">
        <v>9745</v>
      </c>
      <c r="F2630" s="31" t="s">
        <v>9743</v>
      </c>
      <c r="G2630" s="34" t="s">
        <v>9745</v>
      </c>
      <c r="H2630" s="34" t="s">
        <v>9745</v>
      </c>
      <c r="I2630" s="35" t="s">
        <v>14540</v>
      </c>
      <c r="J2630" s="36" t="s">
        <v>2451</v>
      </c>
    </row>
    <row r="2631" spans="1:10" x14ac:dyDescent="0.25">
      <c r="A2631" s="31" t="s">
        <v>2452</v>
      </c>
      <c r="B2631" s="31">
        <v>61.010100000000001</v>
      </c>
      <c r="C2631" s="32" t="s">
        <v>14541</v>
      </c>
      <c r="D2631" s="31" t="s">
        <v>14539</v>
      </c>
      <c r="E2631" s="40" t="s">
        <v>14542</v>
      </c>
      <c r="F2631" s="31" t="s">
        <v>9743</v>
      </c>
      <c r="G2631" s="34" t="s">
        <v>9745</v>
      </c>
      <c r="I2631" s="35" t="s">
        <v>14540</v>
      </c>
      <c r="J2631" s="36" t="s">
        <v>2452</v>
      </c>
    </row>
    <row r="2632" spans="1:10" x14ac:dyDescent="0.25">
      <c r="A2632" s="31" t="s">
        <v>2453</v>
      </c>
      <c r="B2632" s="31">
        <v>61.010199999999998</v>
      </c>
      <c r="C2632" s="32" t="s">
        <v>14543</v>
      </c>
      <c r="D2632" s="31" t="s">
        <v>14539</v>
      </c>
      <c r="E2632" s="40" t="s">
        <v>14544</v>
      </c>
      <c r="F2632" s="31" t="s">
        <v>9743</v>
      </c>
      <c r="G2632" s="34" t="s">
        <v>9745</v>
      </c>
      <c r="I2632" s="35" t="s">
        <v>14540</v>
      </c>
      <c r="J2632" s="36" t="s">
        <v>2453</v>
      </c>
    </row>
    <row r="2633" spans="1:10" x14ac:dyDescent="0.25">
      <c r="A2633" s="31" t="s">
        <v>2454</v>
      </c>
      <c r="B2633" s="31">
        <v>61.010300000000001</v>
      </c>
      <c r="C2633" s="32" t="s">
        <v>14545</v>
      </c>
      <c r="D2633" s="31" t="s">
        <v>14539</v>
      </c>
      <c r="E2633" s="40" t="s">
        <v>14546</v>
      </c>
      <c r="F2633" s="31" t="s">
        <v>9743</v>
      </c>
      <c r="G2633" s="34" t="s">
        <v>9745</v>
      </c>
      <c r="I2633" s="35" t="s">
        <v>14540</v>
      </c>
      <c r="J2633" s="36" t="s">
        <v>2454</v>
      </c>
    </row>
    <row r="2634" spans="1:10" x14ac:dyDescent="0.25">
      <c r="A2634" s="31" t="s">
        <v>2455</v>
      </c>
      <c r="B2634" s="31">
        <v>61.010399999999997</v>
      </c>
      <c r="C2634" s="32" t="s">
        <v>14547</v>
      </c>
      <c r="D2634" s="31" t="s">
        <v>14539</v>
      </c>
      <c r="E2634" s="40" t="s">
        <v>14548</v>
      </c>
      <c r="F2634" s="31" t="s">
        <v>9743</v>
      </c>
      <c r="G2634" s="34" t="s">
        <v>9745</v>
      </c>
      <c r="I2634" s="35" t="s">
        <v>14540</v>
      </c>
      <c r="J2634" s="36" t="s">
        <v>2455</v>
      </c>
    </row>
    <row r="2635" spans="1:10" x14ac:dyDescent="0.25">
      <c r="A2635" s="31" t="s">
        <v>2456</v>
      </c>
      <c r="B2635" s="31">
        <v>61.0105</v>
      </c>
      <c r="C2635" s="32" t="s">
        <v>14549</v>
      </c>
      <c r="D2635" s="31" t="s">
        <v>14539</v>
      </c>
      <c r="E2635" s="40" t="s">
        <v>14550</v>
      </c>
      <c r="F2635" s="31" t="s">
        <v>9743</v>
      </c>
      <c r="G2635" s="34" t="s">
        <v>9745</v>
      </c>
      <c r="I2635" s="35" t="s">
        <v>14540</v>
      </c>
      <c r="J2635" s="36" t="s">
        <v>2456</v>
      </c>
    </row>
    <row r="2636" spans="1:10" x14ac:dyDescent="0.25">
      <c r="A2636" s="31" t="s">
        <v>2457</v>
      </c>
      <c r="B2636" s="31">
        <v>61.010599999999997</v>
      </c>
      <c r="C2636" s="32" t="s">
        <v>14551</v>
      </c>
      <c r="D2636" s="31" t="s">
        <v>14539</v>
      </c>
      <c r="E2636" s="40" t="s">
        <v>14552</v>
      </c>
      <c r="F2636" s="31" t="s">
        <v>9743</v>
      </c>
      <c r="G2636" s="34" t="s">
        <v>9745</v>
      </c>
      <c r="I2636" s="35" t="s">
        <v>14540</v>
      </c>
      <c r="J2636" s="36" t="s">
        <v>2457</v>
      </c>
    </row>
    <row r="2637" spans="1:10" x14ac:dyDescent="0.25">
      <c r="A2637" s="31" t="s">
        <v>2458</v>
      </c>
      <c r="B2637" s="31">
        <v>61.0107</v>
      </c>
      <c r="C2637" s="32" t="s">
        <v>14553</v>
      </c>
      <c r="D2637" s="31" t="s">
        <v>14539</v>
      </c>
      <c r="E2637" s="40" t="s">
        <v>14554</v>
      </c>
      <c r="F2637" s="31" t="s">
        <v>9743</v>
      </c>
      <c r="G2637" s="34" t="s">
        <v>9745</v>
      </c>
      <c r="I2637" s="35" t="s">
        <v>14540</v>
      </c>
      <c r="J2637" s="36" t="s">
        <v>2458</v>
      </c>
    </row>
    <row r="2638" spans="1:10" x14ac:dyDescent="0.25">
      <c r="A2638" s="31" t="s">
        <v>2459</v>
      </c>
      <c r="B2638" s="31">
        <v>61.010800000000003</v>
      </c>
      <c r="C2638" s="32" t="s">
        <v>14555</v>
      </c>
      <c r="D2638" s="31" t="s">
        <v>14539</v>
      </c>
      <c r="E2638" s="40" t="s">
        <v>14556</v>
      </c>
      <c r="F2638" s="31" t="s">
        <v>9743</v>
      </c>
      <c r="G2638" s="34" t="s">
        <v>9745</v>
      </c>
      <c r="I2638" s="35" t="s">
        <v>14540</v>
      </c>
      <c r="J2638" s="36" t="s">
        <v>2459</v>
      </c>
    </row>
    <row r="2639" spans="1:10" x14ac:dyDescent="0.25">
      <c r="A2639" s="31" t="s">
        <v>2460</v>
      </c>
      <c r="B2639" s="31">
        <v>61.010899999999999</v>
      </c>
      <c r="C2639" s="32" t="s">
        <v>14557</v>
      </c>
      <c r="D2639" s="31" t="s">
        <v>14539</v>
      </c>
      <c r="E2639" s="40" t="s">
        <v>14558</v>
      </c>
      <c r="F2639" s="31" t="s">
        <v>9743</v>
      </c>
      <c r="G2639" s="34" t="s">
        <v>9745</v>
      </c>
      <c r="I2639" s="35" t="s">
        <v>14540</v>
      </c>
      <c r="J2639" s="36" t="s">
        <v>2460</v>
      </c>
    </row>
    <row r="2640" spans="1:10" x14ac:dyDescent="0.25">
      <c r="A2640" s="31" t="s">
        <v>2461</v>
      </c>
      <c r="B2640" s="31">
        <v>61.011000000000003</v>
      </c>
      <c r="C2640" s="32" t="s">
        <v>14559</v>
      </c>
      <c r="D2640" s="31" t="s">
        <v>14539</v>
      </c>
      <c r="E2640" s="40" t="s">
        <v>14560</v>
      </c>
      <c r="F2640" s="31" t="s">
        <v>9743</v>
      </c>
      <c r="G2640" s="34" t="s">
        <v>9745</v>
      </c>
      <c r="I2640" s="35" t="s">
        <v>14540</v>
      </c>
      <c r="J2640" s="36" t="s">
        <v>2461</v>
      </c>
    </row>
    <row r="2641" spans="1:10" x14ac:dyDescent="0.25">
      <c r="A2641" s="31" t="s">
        <v>2462</v>
      </c>
      <c r="B2641" s="31">
        <v>61.011099999999999</v>
      </c>
      <c r="C2641" s="32" t="s">
        <v>14561</v>
      </c>
      <c r="D2641" s="31" t="s">
        <v>14539</v>
      </c>
      <c r="E2641" s="40" t="s">
        <v>14562</v>
      </c>
      <c r="F2641" s="31" t="s">
        <v>9743</v>
      </c>
      <c r="G2641" s="34" t="s">
        <v>9745</v>
      </c>
      <c r="I2641" s="35" t="s">
        <v>14540</v>
      </c>
      <c r="J2641" s="36" t="s">
        <v>2462</v>
      </c>
    </row>
    <row r="2642" spans="1:10" x14ac:dyDescent="0.25">
      <c r="A2642" s="31" t="s">
        <v>2463</v>
      </c>
      <c r="B2642" s="31">
        <v>61.011200000000002</v>
      </c>
      <c r="C2642" s="32" t="s">
        <v>14563</v>
      </c>
      <c r="D2642" s="31" t="s">
        <v>14539</v>
      </c>
      <c r="E2642" s="40" t="s">
        <v>14564</v>
      </c>
      <c r="F2642" s="31" t="s">
        <v>9743</v>
      </c>
      <c r="G2642" s="34" t="s">
        <v>9745</v>
      </c>
      <c r="I2642" s="35" t="s">
        <v>14540</v>
      </c>
      <c r="J2642" s="36" t="s">
        <v>2463</v>
      </c>
    </row>
    <row r="2643" spans="1:10" x14ac:dyDescent="0.25">
      <c r="A2643" s="31" t="s">
        <v>2464</v>
      </c>
      <c r="B2643" s="31">
        <v>61.011299999999999</v>
      </c>
      <c r="C2643" s="32" t="s">
        <v>14565</v>
      </c>
      <c r="D2643" s="31" t="s">
        <v>14539</v>
      </c>
      <c r="E2643" s="40" t="s">
        <v>14566</v>
      </c>
      <c r="F2643" s="31" t="s">
        <v>9743</v>
      </c>
      <c r="G2643" s="34" t="s">
        <v>9745</v>
      </c>
      <c r="I2643" s="35" t="s">
        <v>14540</v>
      </c>
      <c r="J2643" s="36" t="s">
        <v>2464</v>
      </c>
    </row>
    <row r="2644" spans="1:10" x14ac:dyDescent="0.25">
      <c r="A2644" s="31" t="s">
        <v>2465</v>
      </c>
      <c r="B2644" s="31">
        <v>61.011400000000002</v>
      </c>
      <c r="C2644" s="32" t="s">
        <v>14567</v>
      </c>
      <c r="D2644" s="31" t="s">
        <v>14539</v>
      </c>
      <c r="E2644" s="40" t="s">
        <v>14568</v>
      </c>
      <c r="F2644" s="31" t="s">
        <v>9743</v>
      </c>
      <c r="G2644" s="34" t="s">
        <v>9745</v>
      </c>
      <c r="I2644" s="35" t="s">
        <v>14540</v>
      </c>
      <c r="J2644" s="36" t="s">
        <v>2465</v>
      </c>
    </row>
    <row r="2645" spans="1:10" x14ac:dyDescent="0.25">
      <c r="A2645" s="31" t="s">
        <v>2466</v>
      </c>
      <c r="B2645" s="31">
        <v>61.011499999999998</v>
      </c>
      <c r="C2645" s="32" t="s">
        <v>14569</v>
      </c>
      <c r="D2645" s="31" t="s">
        <v>14539</v>
      </c>
      <c r="E2645" s="40" t="s">
        <v>14570</v>
      </c>
      <c r="F2645" s="31" t="s">
        <v>9743</v>
      </c>
      <c r="G2645" s="34" t="s">
        <v>9745</v>
      </c>
      <c r="I2645" s="35" t="s">
        <v>14540</v>
      </c>
      <c r="J2645" s="36" t="s">
        <v>2466</v>
      </c>
    </row>
    <row r="2646" spans="1:10" x14ac:dyDescent="0.25">
      <c r="A2646" s="31" t="s">
        <v>2467</v>
      </c>
      <c r="B2646" s="31">
        <v>61.011600000000001</v>
      </c>
      <c r="C2646" s="32" t="s">
        <v>14571</v>
      </c>
      <c r="D2646" s="31" t="s">
        <v>14539</v>
      </c>
      <c r="E2646" s="40" t="s">
        <v>14572</v>
      </c>
      <c r="F2646" s="31" t="s">
        <v>9743</v>
      </c>
      <c r="G2646" s="34" t="s">
        <v>9745</v>
      </c>
      <c r="I2646" s="35" t="s">
        <v>14540</v>
      </c>
      <c r="J2646" s="36" t="s">
        <v>2467</v>
      </c>
    </row>
    <row r="2647" spans="1:10" x14ac:dyDescent="0.25">
      <c r="A2647" s="31" t="s">
        <v>2468</v>
      </c>
      <c r="B2647" s="31">
        <v>61.011699999999998</v>
      </c>
      <c r="C2647" s="32" t="s">
        <v>14573</v>
      </c>
      <c r="D2647" s="31" t="s">
        <v>14539</v>
      </c>
      <c r="E2647" s="40" t="s">
        <v>14574</v>
      </c>
      <c r="F2647" s="31" t="s">
        <v>9743</v>
      </c>
      <c r="G2647" s="34" t="s">
        <v>9745</v>
      </c>
      <c r="I2647" s="35" t="s">
        <v>14540</v>
      </c>
      <c r="J2647" s="36" t="s">
        <v>2468</v>
      </c>
    </row>
    <row r="2648" spans="1:10" x14ac:dyDescent="0.25">
      <c r="A2648" s="31" t="s">
        <v>2469</v>
      </c>
      <c r="B2648" s="31">
        <v>61.011800000000001</v>
      </c>
      <c r="C2648" s="32" t="s">
        <v>14575</v>
      </c>
      <c r="D2648" s="31" t="s">
        <v>14539</v>
      </c>
      <c r="E2648" s="40" t="s">
        <v>14576</v>
      </c>
      <c r="F2648" s="31" t="s">
        <v>9743</v>
      </c>
      <c r="G2648" s="34" t="s">
        <v>9745</v>
      </c>
      <c r="I2648" s="35" t="s">
        <v>14540</v>
      </c>
      <c r="J2648" s="36" t="s">
        <v>2469</v>
      </c>
    </row>
    <row r="2649" spans="1:10" x14ac:dyDescent="0.25">
      <c r="A2649" s="31" t="s">
        <v>2470</v>
      </c>
      <c r="B2649" s="31">
        <v>61.011899999999997</v>
      </c>
      <c r="C2649" s="32" t="s">
        <v>14577</v>
      </c>
      <c r="D2649" s="31" t="s">
        <v>14539</v>
      </c>
      <c r="E2649" s="40" t="s">
        <v>14578</v>
      </c>
      <c r="F2649" s="31" t="s">
        <v>9743</v>
      </c>
      <c r="G2649" s="34" t="s">
        <v>9745</v>
      </c>
      <c r="I2649" s="35" t="s">
        <v>14540</v>
      </c>
      <c r="J2649" s="36" t="s">
        <v>2470</v>
      </c>
    </row>
    <row r="2650" spans="1:10" x14ac:dyDescent="0.25">
      <c r="A2650" s="31" t="s">
        <v>2471</v>
      </c>
      <c r="B2650" s="31">
        <v>61.012</v>
      </c>
      <c r="C2650" s="32" t="s">
        <v>14579</v>
      </c>
      <c r="D2650" s="31" t="s">
        <v>14539</v>
      </c>
      <c r="E2650" s="40" t="s">
        <v>14580</v>
      </c>
      <c r="F2650" s="31" t="s">
        <v>9743</v>
      </c>
      <c r="G2650" s="34" t="s">
        <v>9745</v>
      </c>
      <c r="I2650" s="35" t="s">
        <v>14540</v>
      </c>
      <c r="J2650" s="36" t="s">
        <v>2471</v>
      </c>
    </row>
    <row r="2651" spans="1:10" x14ac:dyDescent="0.25">
      <c r="A2651" s="31" t="s">
        <v>2472</v>
      </c>
      <c r="B2651" s="31">
        <v>61.012099999999997</v>
      </c>
      <c r="C2651" s="32" t="s">
        <v>14581</v>
      </c>
      <c r="D2651" s="31" t="s">
        <v>14539</v>
      </c>
      <c r="E2651" s="40" t="s">
        <v>14582</v>
      </c>
      <c r="F2651" s="31" t="s">
        <v>9743</v>
      </c>
      <c r="G2651" s="34" t="s">
        <v>9745</v>
      </c>
      <c r="I2651" s="35" t="s">
        <v>14540</v>
      </c>
      <c r="J2651" s="36" t="s">
        <v>2472</v>
      </c>
    </row>
    <row r="2652" spans="1:10" x14ac:dyDescent="0.25">
      <c r="A2652" s="31" t="s">
        <v>2473</v>
      </c>
      <c r="B2652" s="31">
        <v>61.0122</v>
      </c>
      <c r="C2652" s="32" t="s">
        <v>14583</v>
      </c>
      <c r="D2652" s="31" t="s">
        <v>14539</v>
      </c>
      <c r="E2652" s="40" t="s">
        <v>14584</v>
      </c>
      <c r="F2652" s="31" t="s">
        <v>9743</v>
      </c>
      <c r="G2652" s="34" t="s">
        <v>9745</v>
      </c>
      <c r="I2652" s="35" t="s">
        <v>14540</v>
      </c>
      <c r="J2652" s="36" t="s">
        <v>2473</v>
      </c>
    </row>
    <row r="2653" spans="1:10" x14ac:dyDescent="0.25">
      <c r="A2653" s="31" t="s">
        <v>2474</v>
      </c>
      <c r="B2653" s="31">
        <v>61.012300000000003</v>
      </c>
      <c r="C2653" s="32" t="s">
        <v>14585</v>
      </c>
      <c r="D2653" s="31" t="s">
        <v>14539</v>
      </c>
      <c r="E2653" s="40" t="s">
        <v>14586</v>
      </c>
      <c r="F2653" s="31" t="s">
        <v>9743</v>
      </c>
      <c r="G2653" s="34" t="s">
        <v>9745</v>
      </c>
      <c r="I2653" s="35" t="s">
        <v>14540</v>
      </c>
      <c r="J2653" s="36" t="s">
        <v>2474</v>
      </c>
    </row>
    <row r="2654" spans="1:10" x14ac:dyDescent="0.25">
      <c r="A2654" s="31" t="s">
        <v>2475</v>
      </c>
      <c r="B2654" s="31">
        <v>61.0124</v>
      </c>
      <c r="C2654" s="32" t="s">
        <v>14587</v>
      </c>
      <c r="D2654" s="31" t="s">
        <v>14539</v>
      </c>
      <c r="E2654" s="40" t="s">
        <v>14588</v>
      </c>
      <c r="F2654" s="31" t="s">
        <v>9743</v>
      </c>
      <c r="G2654" s="34" t="s">
        <v>9745</v>
      </c>
      <c r="I2654" s="35" t="s">
        <v>14540</v>
      </c>
      <c r="J2654" s="36" t="s">
        <v>2475</v>
      </c>
    </row>
    <row r="2655" spans="1:10" x14ac:dyDescent="0.25">
      <c r="A2655" s="31" t="s">
        <v>2476</v>
      </c>
      <c r="B2655" s="31">
        <v>61.012500000000003</v>
      </c>
      <c r="C2655" s="32" t="s">
        <v>14589</v>
      </c>
      <c r="D2655" s="31" t="s">
        <v>14539</v>
      </c>
      <c r="E2655" s="40" t="s">
        <v>14590</v>
      </c>
      <c r="F2655" s="31" t="s">
        <v>9743</v>
      </c>
      <c r="G2655" s="34" t="s">
        <v>9745</v>
      </c>
      <c r="I2655" s="35" t="s">
        <v>14540</v>
      </c>
      <c r="J2655" s="36" t="s">
        <v>2476</v>
      </c>
    </row>
    <row r="2656" spans="1:10" x14ac:dyDescent="0.25">
      <c r="A2656" s="31" t="s">
        <v>2477</v>
      </c>
      <c r="B2656" s="31">
        <v>61.0199</v>
      </c>
      <c r="C2656" s="32" t="s">
        <v>14591</v>
      </c>
      <c r="D2656" s="31" t="s">
        <v>14539</v>
      </c>
      <c r="E2656" s="40" t="s">
        <v>14592</v>
      </c>
      <c r="F2656" s="31" t="s">
        <v>9743</v>
      </c>
      <c r="G2656" s="34" t="s">
        <v>9745</v>
      </c>
      <c r="I2656" s="35" t="s">
        <v>14540</v>
      </c>
      <c r="J2656" s="36" t="s">
        <v>2477</v>
      </c>
    </row>
    <row r="2657" spans="1:10" x14ac:dyDescent="0.25">
      <c r="A2657" s="31" t="s">
        <v>2478</v>
      </c>
      <c r="B2657" s="31">
        <v>61.02</v>
      </c>
      <c r="C2657" s="32" t="s">
        <v>14593</v>
      </c>
      <c r="D2657" s="31" t="s">
        <v>14539</v>
      </c>
      <c r="E2657" s="40" t="s">
        <v>9746</v>
      </c>
      <c r="F2657" s="31" t="s">
        <v>9743</v>
      </c>
      <c r="G2657" s="34" t="s">
        <v>9746</v>
      </c>
      <c r="H2657" s="34" t="s">
        <v>9746</v>
      </c>
      <c r="I2657" s="35" t="s">
        <v>14593</v>
      </c>
      <c r="J2657" s="36" t="s">
        <v>2478</v>
      </c>
    </row>
    <row r="2658" spans="1:10" x14ac:dyDescent="0.25">
      <c r="A2658" s="31" t="s">
        <v>2479</v>
      </c>
      <c r="B2658" s="31">
        <v>61.020200000000003</v>
      </c>
      <c r="C2658" s="32" t="s">
        <v>14594</v>
      </c>
      <c r="D2658" s="31" t="s">
        <v>14539</v>
      </c>
      <c r="E2658" s="40" t="s">
        <v>14595</v>
      </c>
      <c r="F2658" s="31" t="s">
        <v>9743</v>
      </c>
      <c r="G2658" s="34" t="s">
        <v>9746</v>
      </c>
      <c r="I2658" s="35" t="s">
        <v>14593</v>
      </c>
      <c r="J2658" s="36" t="s">
        <v>2479</v>
      </c>
    </row>
    <row r="2659" spans="1:10" x14ac:dyDescent="0.25">
      <c r="A2659" s="31" t="s">
        <v>2480</v>
      </c>
      <c r="B2659" s="31">
        <v>61.020299999999999</v>
      </c>
      <c r="C2659" s="32" t="s">
        <v>14596</v>
      </c>
      <c r="D2659" s="31" t="s">
        <v>14539</v>
      </c>
      <c r="E2659" s="40" t="s">
        <v>14597</v>
      </c>
      <c r="F2659" s="31" t="s">
        <v>9743</v>
      </c>
      <c r="G2659" s="34" t="s">
        <v>9746</v>
      </c>
      <c r="I2659" s="35" t="s">
        <v>14593</v>
      </c>
      <c r="J2659" s="36" t="s">
        <v>2480</v>
      </c>
    </row>
    <row r="2660" spans="1:10" x14ac:dyDescent="0.25">
      <c r="A2660" s="31" t="s">
        <v>2481</v>
      </c>
      <c r="B2660" s="31">
        <v>61.020400000000002</v>
      </c>
      <c r="C2660" s="32" t="s">
        <v>14598</v>
      </c>
      <c r="D2660" s="31" t="s">
        <v>14539</v>
      </c>
      <c r="E2660" s="40" t="s">
        <v>14599</v>
      </c>
      <c r="F2660" s="31" t="s">
        <v>9743</v>
      </c>
      <c r="G2660" s="34" t="s">
        <v>9746</v>
      </c>
      <c r="I2660" s="35" t="s">
        <v>14593</v>
      </c>
      <c r="J2660" s="36" t="s">
        <v>2481</v>
      </c>
    </row>
    <row r="2661" spans="1:10" x14ac:dyDescent="0.25">
      <c r="A2661" s="31" t="s">
        <v>2482</v>
      </c>
      <c r="B2661" s="31">
        <v>61.020499999999998</v>
      </c>
      <c r="C2661" s="32" t="s">
        <v>14600</v>
      </c>
      <c r="D2661" s="31" t="s">
        <v>14539</v>
      </c>
      <c r="E2661" s="40" t="s">
        <v>14601</v>
      </c>
      <c r="F2661" s="31" t="s">
        <v>9743</v>
      </c>
      <c r="G2661" s="34" t="s">
        <v>9746</v>
      </c>
      <c r="I2661" s="35" t="s">
        <v>14593</v>
      </c>
      <c r="J2661" s="36" t="s">
        <v>2482</v>
      </c>
    </row>
    <row r="2662" spans="1:10" x14ac:dyDescent="0.25">
      <c r="A2662" s="31" t="s">
        <v>2483</v>
      </c>
      <c r="B2662" s="31">
        <v>61.020600000000002</v>
      </c>
      <c r="C2662" s="32" t="s">
        <v>14602</v>
      </c>
      <c r="D2662" s="31" t="s">
        <v>14539</v>
      </c>
      <c r="E2662" s="40" t="s">
        <v>14603</v>
      </c>
      <c r="F2662" s="31" t="s">
        <v>9743</v>
      </c>
      <c r="G2662" s="34" t="s">
        <v>9746</v>
      </c>
      <c r="I2662" s="35" t="s">
        <v>14593</v>
      </c>
      <c r="J2662" s="36" t="s">
        <v>2483</v>
      </c>
    </row>
    <row r="2663" spans="1:10" x14ac:dyDescent="0.25">
      <c r="A2663" s="31" t="s">
        <v>2484</v>
      </c>
      <c r="B2663" s="31">
        <v>61.020699999999998</v>
      </c>
      <c r="C2663" s="32" t="s">
        <v>14604</v>
      </c>
      <c r="D2663" s="31" t="s">
        <v>14539</v>
      </c>
      <c r="E2663" s="40" t="s">
        <v>14605</v>
      </c>
      <c r="F2663" s="31" t="s">
        <v>9743</v>
      </c>
      <c r="G2663" s="34" t="s">
        <v>9746</v>
      </c>
      <c r="I2663" s="35" t="s">
        <v>14593</v>
      </c>
      <c r="J2663" s="36" t="s">
        <v>2484</v>
      </c>
    </row>
    <row r="2664" spans="1:10" x14ac:dyDescent="0.25">
      <c r="A2664" s="31" t="s">
        <v>2485</v>
      </c>
      <c r="B2664" s="31">
        <v>61.020800000000001</v>
      </c>
      <c r="C2664" s="32" t="s">
        <v>14606</v>
      </c>
      <c r="D2664" s="31" t="s">
        <v>14539</v>
      </c>
      <c r="E2664" s="40" t="s">
        <v>14607</v>
      </c>
      <c r="F2664" s="31" t="s">
        <v>9743</v>
      </c>
      <c r="G2664" s="34" t="s">
        <v>9746</v>
      </c>
      <c r="I2664" s="35" t="s">
        <v>14593</v>
      </c>
      <c r="J2664" s="36" t="s">
        <v>2485</v>
      </c>
    </row>
    <row r="2665" spans="1:10" x14ac:dyDescent="0.25">
      <c r="A2665" s="31" t="s">
        <v>2486</v>
      </c>
      <c r="B2665" s="31">
        <v>61.020899999999997</v>
      </c>
      <c r="C2665" s="32" t="s">
        <v>14608</v>
      </c>
      <c r="D2665" s="31" t="s">
        <v>14539</v>
      </c>
      <c r="E2665" s="40" t="s">
        <v>14609</v>
      </c>
      <c r="F2665" s="31" t="s">
        <v>9743</v>
      </c>
      <c r="G2665" s="34" t="s">
        <v>9746</v>
      </c>
      <c r="I2665" s="35" t="s">
        <v>14593</v>
      </c>
      <c r="J2665" s="36" t="s">
        <v>2486</v>
      </c>
    </row>
    <row r="2666" spans="1:10" x14ac:dyDescent="0.25">
      <c r="A2666" s="31" t="s">
        <v>2487</v>
      </c>
      <c r="B2666" s="31">
        <v>61.021000000000001</v>
      </c>
      <c r="C2666" s="32" t="s">
        <v>14610</v>
      </c>
      <c r="D2666" s="31" t="s">
        <v>14539</v>
      </c>
      <c r="E2666" s="40" t="s">
        <v>14611</v>
      </c>
      <c r="F2666" s="31" t="s">
        <v>9743</v>
      </c>
      <c r="G2666" s="34" t="s">
        <v>9746</v>
      </c>
      <c r="I2666" s="35" t="s">
        <v>14593</v>
      </c>
      <c r="J2666" s="36" t="s">
        <v>2487</v>
      </c>
    </row>
    <row r="2667" spans="1:10" x14ac:dyDescent="0.25">
      <c r="A2667" s="31" t="s">
        <v>2488</v>
      </c>
      <c r="B2667" s="31">
        <v>61.021099999999997</v>
      </c>
      <c r="C2667" s="32" t="s">
        <v>14612</v>
      </c>
      <c r="D2667" s="31" t="s">
        <v>14539</v>
      </c>
      <c r="E2667" s="40" t="s">
        <v>14613</v>
      </c>
      <c r="F2667" s="31" t="s">
        <v>9743</v>
      </c>
      <c r="G2667" s="34" t="s">
        <v>9746</v>
      </c>
      <c r="I2667" s="35" t="s">
        <v>14593</v>
      </c>
      <c r="J2667" s="36" t="s">
        <v>2488</v>
      </c>
    </row>
    <row r="2668" spans="1:10" x14ac:dyDescent="0.25">
      <c r="A2668" s="31" t="s">
        <v>2489</v>
      </c>
      <c r="B2668" s="31">
        <v>61.0212</v>
      </c>
      <c r="C2668" s="32" t="s">
        <v>14614</v>
      </c>
      <c r="D2668" s="31" t="s">
        <v>14539</v>
      </c>
      <c r="E2668" s="40" t="s">
        <v>14615</v>
      </c>
      <c r="F2668" s="31" t="s">
        <v>9743</v>
      </c>
      <c r="G2668" s="34" t="s">
        <v>9746</v>
      </c>
      <c r="I2668" s="35" t="s">
        <v>14593</v>
      </c>
      <c r="J2668" s="36" t="s">
        <v>2489</v>
      </c>
    </row>
    <row r="2669" spans="1:10" x14ac:dyDescent="0.25">
      <c r="A2669" s="31" t="s">
        <v>2490</v>
      </c>
      <c r="B2669" s="31">
        <v>61.021299999999997</v>
      </c>
      <c r="C2669" s="32" t="s">
        <v>14616</v>
      </c>
      <c r="D2669" s="31" t="s">
        <v>14539</v>
      </c>
      <c r="E2669" s="40" t="s">
        <v>14617</v>
      </c>
      <c r="F2669" s="31" t="s">
        <v>9743</v>
      </c>
      <c r="G2669" s="34" t="s">
        <v>9746</v>
      </c>
      <c r="I2669" s="35" t="s">
        <v>14593</v>
      </c>
      <c r="J2669" s="36" t="s">
        <v>2490</v>
      </c>
    </row>
    <row r="2670" spans="1:10" x14ac:dyDescent="0.25">
      <c r="A2670" s="31" t="s">
        <v>2491</v>
      </c>
      <c r="B2670" s="31">
        <v>61.0214</v>
      </c>
      <c r="C2670" s="32" t="s">
        <v>14618</v>
      </c>
      <c r="D2670" s="31" t="s">
        <v>14539</v>
      </c>
      <c r="E2670" s="40" t="s">
        <v>14619</v>
      </c>
      <c r="F2670" s="31" t="s">
        <v>9743</v>
      </c>
      <c r="G2670" s="34" t="s">
        <v>9746</v>
      </c>
      <c r="I2670" s="35" t="s">
        <v>14593</v>
      </c>
      <c r="J2670" s="36" t="s">
        <v>2491</v>
      </c>
    </row>
    <row r="2671" spans="1:10" x14ac:dyDescent="0.25">
      <c r="A2671" s="31" t="s">
        <v>2492</v>
      </c>
      <c r="B2671" s="31">
        <v>61.021500000000003</v>
      </c>
      <c r="C2671" s="32" t="s">
        <v>14620</v>
      </c>
      <c r="D2671" s="31" t="s">
        <v>14539</v>
      </c>
      <c r="E2671" s="40" t="s">
        <v>14621</v>
      </c>
      <c r="F2671" s="31" t="s">
        <v>9743</v>
      </c>
      <c r="G2671" s="34" t="s">
        <v>9746</v>
      </c>
      <c r="I2671" s="35" t="s">
        <v>14593</v>
      </c>
      <c r="J2671" s="36" t="s">
        <v>2492</v>
      </c>
    </row>
    <row r="2672" spans="1:10" x14ac:dyDescent="0.25">
      <c r="A2672" s="31" t="s">
        <v>2493</v>
      </c>
      <c r="B2672" s="31">
        <v>61.021599999999999</v>
      </c>
      <c r="C2672" s="32" t="s">
        <v>14622</v>
      </c>
      <c r="D2672" s="31" t="s">
        <v>14539</v>
      </c>
      <c r="E2672" s="40" t="s">
        <v>14623</v>
      </c>
      <c r="F2672" s="31" t="s">
        <v>9743</v>
      </c>
      <c r="G2672" s="34" t="s">
        <v>9746</v>
      </c>
      <c r="I2672" s="35" t="s">
        <v>14593</v>
      </c>
      <c r="J2672" s="36" t="s">
        <v>2493</v>
      </c>
    </row>
    <row r="2673" spans="1:10" x14ac:dyDescent="0.25">
      <c r="A2673" s="31" t="s">
        <v>2494</v>
      </c>
      <c r="B2673" s="31">
        <v>61.021700000000003</v>
      </c>
      <c r="C2673" s="32" t="s">
        <v>14624</v>
      </c>
      <c r="D2673" s="31" t="s">
        <v>14539</v>
      </c>
      <c r="E2673" s="40" t="s">
        <v>14625</v>
      </c>
      <c r="F2673" s="31" t="s">
        <v>9743</v>
      </c>
      <c r="G2673" s="34" t="s">
        <v>9746</v>
      </c>
      <c r="I2673" s="35" t="s">
        <v>14593</v>
      </c>
      <c r="J2673" s="36" t="s">
        <v>2494</v>
      </c>
    </row>
    <row r="2674" spans="1:10" x14ac:dyDescent="0.25">
      <c r="A2674" s="31" t="s">
        <v>2495</v>
      </c>
      <c r="B2674" s="31">
        <v>61.021799999999999</v>
      </c>
      <c r="C2674" s="32" t="s">
        <v>14626</v>
      </c>
      <c r="D2674" s="31" t="s">
        <v>14539</v>
      </c>
      <c r="E2674" s="40" t="s">
        <v>14627</v>
      </c>
      <c r="F2674" s="31" t="s">
        <v>9743</v>
      </c>
      <c r="G2674" s="34" t="s">
        <v>9746</v>
      </c>
      <c r="I2674" s="35" t="s">
        <v>14593</v>
      </c>
      <c r="J2674" s="36" t="s">
        <v>2495</v>
      </c>
    </row>
    <row r="2675" spans="1:10" x14ac:dyDescent="0.25">
      <c r="A2675" s="31" t="s">
        <v>2496</v>
      </c>
      <c r="B2675" s="31">
        <v>61.029899999999998</v>
      </c>
      <c r="C2675" s="32" t="s">
        <v>14628</v>
      </c>
      <c r="D2675" s="31" t="s">
        <v>14539</v>
      </c>
      <c r="E2675" s="40" t="s">
        <v>14629</v>
      </c>
      <c r="F2675" s="31" t="s">
        <v>9743</v>
      </c>
      <c r="G2675" s="34" t="s">
        <v>9746</v>
      </c>
      <c r="I2675" s="35" t="s">
        <v>14593</v>
      </c>
      <c r="J2675" s="36" t="s">
        <v>2496</v>
      </c>
    </row>
    <row r="2676" spans="1:10" x14ac:dyDescent="0.25">
      <c r="A2676" s="31" t="s">
        <v>2497</v>
      </c>
      <c r="B2676" s="31">
        <v>61.03</v>
      </c>
      <c r="C2676" s="32" t="s">
        <v>14630</v>
      </c>
      <c r="D2676" s="31" t="s">
        <v>14539</v>
      </c>
      <c r="E2676" s="40" t="s">
        <v>9747</v>
      </c>
      <c r="F2676" s="31" t="s">
        <v>9743</v>
      </c>
      <c r="G2676" s="34" t="s">
        <v>9747</v>
      </c>
      <c r="H2676" s="34" t="s">
        <v>9747</v>
      </c>
      <c r="I2676" s="35" t="s">
        <v>14630</v>
      </c>
      <c r="J2676" s="36" t="s">
        <v>2497</v>
      </c>
    </row>
    <row r="2677" spans="1:10" x14ac:dyDescent="0.25">
      <c r="A2677" s="31" t="s">
        <v>2498</v>
      </c>
      <c r="B2677" s="31">
        <v>61.030099999999997</v>
      </c>
      <c r="C2677" s="32" t="s">
        <v>14631</v>
      </c>
      <c r="D2677" s="31" t="s">
        <v>14539</v>
      </c>
      <c r="E2677" s="40" t="s">
        <v>14632</v>
      </c>
      <c r="F2677" s="31" t="s">
        <v>9743</v>
      </c>
      <c r="G2677" s="34" t="s">
        <v>9747</v>
      </c>
      <c r="I2677" s="35" t="s">
        <v>14630</v>
      </c>
      <c r="J2677" s="36" t="s">
        <v>2498</v>
      </c>
    </row>
    <row r="2678" spans="1:10" x14ac:dyDescent="0.25">
      <c r="A2678" s="31" t="s">
        <v>2499</v>
      </c>
      <c r="B2678" s="31">
        <v>61.039900000000003</v>
      </c>
      <c r="C2678" s="32" t="s">
        <v>14633</v>
      </c>
      <c r="D2678" s="31" t="s">
        <v>14539</v>
      </c>
      <c r="E2678" s="40" t="s">
        <v>14634</v>
      </c>
      <c r="F2678" s="31" t="s">
        <v>9743</v>
      </c>
      <c r="G2678" s="34" t="s">
        <v>9747</v>
      </c>
      <c r="I2678" s="35" t="s">
        <v>14630</v>
      </c>
      <c r="J2678" s="36" t="s">
        <v>2499</v>
      </c>
    </row>
    <row r="2679" spans="1:10" x14ac:dyDescent="0.25">
      <c r="A2679" s="31" t="s">
        <v>2500</v>
      </c>
      <c r="B2679" s="31">
        <v>61.04</v>
      </c>
      <c r="C2679" s="32" t="s">
        <v>14635</v>
      </c>
      <c r="D2679" s="31" t="s">
        <v>14539</v>
      </c>
      <c r="E2679" s="40" t="s">
        <v>9748</v>
      </c>
      <c r="F2679" s="31" t="s">
        <v>9743</v>
      </c>
      <c r="G2679" s="34" t="s">
        <v>9748</v>
      </c>
      <c r="H2679" s="34" t="s">
        <v>9748</v>
      </c>
      <c r="I2679" s="35" t="s">
        <v>14635</v>
      </c>
      <c r="J2679" s="36" t="s">
        <v>2500</v>
      </c>
    </row>
    <row r="2680" spans="1:10" x14ac:dyDescent="0.25">
      <c r="A2680" s="31" t="s">
        <v>2218</v>
      </c>
      <c r="B2680" s="31">
        <v>61.040100000000002</v>
      </c>
      <c r="C2680" s="32" t="s">
        <v>14636</v>
      </c>
      <c r="D2680" s="31" t="s">
        <v>14539</v>
      </c>
      <c r="E2680" s="40" t="s">
        <v>14637</v>
      </c>
      <c r="F2680" s="31" t="s">
        <v>9743</v>
      </c>
      <c r="G2680" s="34" t="s">
        <v>9748</v>
      </c>
      <c r="I2680" s="35" t="s">
        <v>14635</v>
      </c>
      <c r="J2680" s="36" t="s">
        <v>2218</v>
      </c>
    </row>
    <row r="2681" spans="1:10" x14ac:dyDescent="0.25">
      <c r="A2681" s="31" t="s">
        <v>2501</v>
      </c>
      <c r="B2681" s="31">
        <v>61.049900000000001</v>
      </c>
      <c r="C2681" s="32" t="s">
        <v>14638</v>
      </c>
      <c r="D2681" s="31" t="s">
        <v>14539</v>
      </c>
      <c r="E2681" s="40" t="s">
        <v>14639</v>
      </c>
      <c r="F2681" s="31" t="s">
        <v>9743</v>
      </c>
      <c r="G2681" s="34" t="s">
        <v>9748</v>
      </c>
      <c r="I2681" s="35" t="s">
        <v>14635</v>
      </c>
      <c r="J2681" s="36" t="s">
        <v>2501</v>
      </c>
    </row>
    <row r="2682" spans="1:10" x14ac:dyDescent="0.25">
      <c r="A2682" s="31" t="s">
        <v>2502</v>
      </c>
      <c r="B2682" s="31">
        <v>61.05</v>
      </c>
      <c r="C2682" s="32" t="s">
        <v>14640</v>
      </c>
      <c r="D2682" s="31" t="s">
        <v>14539</v>
      </c>
      <c r="E2682" s="40" t="s">
        <v>9749</v>
      </c>
      <c r="F2682" s="31" t="s">
        <v>9743</v>
      </c>
      <c r="G2682" s="34" t="s">
        <v>9749</v>
      </c>
      <c r="H2682" s="34" t="s">
        <v>9749</v>
      </c>
      <c r="I2682" s="35" t="s">
        <v>14640</v>
      </c>
      <c r="J2682" s="36" t="s">
        <v>2502</v>
      </c>
    </row>
    <row r="2683" spans="1:10" x14ac:dyDescent="0.25">
      <c r="A2683" s="31" t="s">
        <v>2225</v>
      </c>
      <c r="B2683" s="31">
        <v>61.0501</v>
      </c>
      <c r="C2683" s="32" t="s">
        <v>14641</v>
      </c>
      <c r="D2683" s="31" t="s">
        <v>14539</v>
      </c>
      <c r="E2683" s="40" t="s">
        <v>14642</v>
      </c>
      <c r="F2683" s="31" t="s">
        <v>9743</v>
      </c>
      <c r="G2683" s="34" t="s">
        <v>9749</v>
      </c>
      <c r="I2683" s="35" t="s">
        <v>14640</v>
      </c>
      <c r="J2683" s="36" t="s">
        <v>2225</v>
      </c>
    </row>
    <row r="2684" spans="1:10" x14ac:dyDescent="0.25">
      <c r="A2684" s="31" t="s">
        <v>2503</v>
      </c>
      <c r="B2684" s="31">
        <v>61.050199999999997</v>
      </c>
      <c r="C2684" s="32" t="s">
        <v>14643</v>
      </c>
      <c r="D2684" s="31" t="s">
        <v>14539</v>
      </c>
      <c r="E2684" s="40" t="s">
        <v>14644</v>
      </c>
      <c r="F2684" s="31" t="s">
        <v>9743</v>
      </c>
      <c r="G2684" s="34" t="s">
        <v>9749</v>
      </c>
      <c r="I2684" s="35" t="s">
        <v>14640</v>
      </c>
      <c r="J2684" s="36" t="s">
        <v>2503</v>
      </c>
    </row>
    <row r="2685" spans="1:10" x14ac:dyDescent="0.25">
      <c r="A2685" s="31" t="s">
        <v>2504</v>
      </c>
      <c r="B2685" s="31">
        <v>61.0503</v>
      </c>
      <c r="C2685" s="32" t="s">
        <v>14645</v>
      </c>
      <c r="D2685" s="31" t="s">
        <v>14539</v>
      </c>
      <c r="E2685" s="40" t="s">
        <v>14646</v>
      </c>
      <c r="F2685" s="31" t="s">
        <v>9743</v>
      </c>
      <c r="G2685" s="34" t="s">
        <v>9749</v>
      </c>
      <c r="I2685" s="35" t="s">
        <v>14640</v>
      </c>
      <c r="J2685" s="36" t="s">
        <v>2504</v>
      </c>
    </row>
    <row r="2686" spans="1:10" x14ac:dyDescent="0.25">
      <c r="A2686" s="31" t="s">
        <v>2505</v>
      </c>
      <c r="B2686" s="31">
        <v>61.059899999999999</v>
      </c>
      <c r="C2686" s="32" t="s">
        <v>14647</v>
      </c>
      <c r="D2686" s="31" t="s">
        <v>14539</v>
      </c>
      <c r="E2686" s="40" t="s">
        <v>14648</v>
      </c>
      <c r="F2686" s="31" t="s">
        <v>9743</v>
      </c>
      <c r="G2686" s="34" t="s">
        <v>9749</v>
      </c>
      <c r="I2686" s="35" t="s">
        <v>14640</v>
      </c>
      <c r="J2686" s="36" t="s">
        <v>2505</v>
      </c>
    </row>
    <row r="2687" spans="1:10" x14ac:dyDescent="0.25">
      <c r="A2687" s="31" t="s">
        <v>2506</v>
      </c>
      <c r="B2687" s="31">
        <v>61.06</v>
      </c>
      <c r="C2687" s="32" t="s">
        <v>14649</v>
      </c>
      <c r="D2687" s="31" t="s">
        <v>14539</v>
      </c>
      <c r="E2687" s="40" t="s">
        <v>9750</v>
      </c>
      <c r="F2687" s="31" t="s">
        <v>9743</v>
      </c>
      <c r="G2687" s="34" t="s">
        <v>9750</v>
      </c>
      <c r="H2687" s="34" t="s">
        <v>9750</v>
      </c>
      <c r="I2687" s="35" t="s">
        <v>14649</v>
      </c>
      <c r="J2687" s="36" t="s">
        <v>2506</v>
      </c>
    </row>
    <row r="2688" spans="1:10" x14ac:dyDescent="0.25">
      <c r="A2688" s="31" t="s">
        <v>2227</v>
      </c>
      <c r="B2688" s="31">
        <v>61.060099999999998</v>
      </c>
      <c r="C2688" s="32" t="s">
        <v>14650</v>
      </c>
      <c r="D2688" s="31" t="s">
        <v>14539</v>
      </c>
      <c r="E2688" s="40" t="s">
        <v>14651</v>
      </c>
      <c r="F2688" s="31" t="s">
        <v>9743</v>
      </c>
      <c r="G2688" s="34" t="s">
        <v>9750</v>
      </c>
      <c r="I2688" s="35" t="s">
        <v>14649</v>
      </c>
      <c r="J2688" s="36" t="s">
        <v>2227</v>
      </c>
    </row>
    <row r="2689" spans="1:10" x14ac:dyDescent="0.25">
      <c r="A2689" s="31" t="s">
        <v>2507</v>
      </c>
      <c r="B2689" s="31">
        <v>61.060200000000002</v>
      </c>
      <c r="C2689" s="32" t="s">
        <v>14652</v>
      </c>
      <c r="D2689" s="31" t="s">
        <v>14539</v>
      </c>
      <c r="E2689" s="40" t="s">
        <v>14653</v>
      </c>
      <c r="F2689" s="31" t="s">
        <v>9743</v>
      </c>
      <c r="G2689" s="34" t="s">
        <v>9750</v>
      </c>
      <c r="I2689" s="35" t="s">
        <v>14649</v>
      </c>
      <c r="J2689" s="36" t="s">
        <v>2507</v>
      </c>
    </row>
    <row r="2690" spans="1:10" x14ac:dyDescent="0.25">
      <c r="A2690" s="31" t="s">
        <v>2508</v>
      </c>
      <c r="B2690" s="31">
        <v>61.060299999999998</v>
      </c>
      <c r="C2690" s="32" t="s">
        <v>14654</v>
      </c>
      <c r="D2690" s="31" t="s">
        <v>14539</v>
      </c>
      <c r="E2690" s="40" t="s">
        <v>14655</v>
      </c>
      <c r="F2690" s="31" t="s">
        <v>9743</v>
      </c>
      <c r="G2690" s="34" t="s">
        <v>9750</v>
      </c>
      <c r="I2690" s="35" t="s">
        <v>14649</v>
      </c>
      <c r="J2690" s="36" t="s">
        <v>2508</v>
      </c>
    </row>
    <row r="2691" spans="1:10" x14ac:dyDescent="0.25">
      <c r="A2691" s="31" t="s">
        <v>2509</v>
      </c>
      <c r="B2691" s="31">
        <v>61.069899999999997</v>
      </c>
      <c r="C2691" s="32" t="s">
        <v>14656</v>
      </c>
      <c r="D2691" s="31" t="s">
        <v>14539</v>
      </c>
      <c r="E2691" s="40" t="s">
        <v>14657</v>
      </c>
      <c r="F2691" s="31" t="s">
        <v>9743</v>
      </c>
      <c r="G2691" s="34" t="s">
        <v>9750</v>
      </c>
      <c r="I2691" s="35" t="s">
        <v>14649</v>
      </c>
      <c r="J2691" s="36" t="s">
        <v>2509</v>
      </c>
    </row>
    <row r="2692" spans="1:10" x14ac:dyDescent="0.25">
      <c r="A2692" s="31" t="s">
        <v>2510</v>
      </c>
      <c r="B2692" s="31">
        <v>61.07</v>
      </c>
      <c r="C2692" s="32" t="s">
        <v>14658</v>
      </c>
      <c r="D2692" s="31" t="s">
        <v>14539</v>
      </c>
      <c r="E2692" s="40" t="s">
        <v>9751</v>
      </c>
      <c r="F2692" s="31" t="s">
        <v>9743</v>
      </c>
      <c r="G2692" s="34" t="s">
        <v>9751</v>
      </c>
      <c r="H2692" s="34" t="s">
        <v>9751</v>
      </c>
      <c r="I2692" s="35" t="s">
        <v>14658</v>
      </c>
      <c r="J2692" s="36" t="s">
        <v>2510</v>
      </c>
    </row>
    <row r="2693" spans="1:10" x14ac:dyDescent="0.25">
      <c r="A2693" s="31" t="s">
        <v>2228</v>
      </c>
      <c r="B2693" s="31">
        <v>61.070099999999996</v>
      </c>
      <c r="C2693" s="32" t="s">
        <v>14659</v>
      </c>
      <c r="D2693" s="31" t="s">
        <v>14539</v>
      </c>
      <c r="E2693" s="40" t="s">
        <v>14660</v>
      </c>
      <c r="F2693" s="31" t="s">
        <v>9743</v>
      </c>
      <c r="G2693" s="34" t="s">
        <v>9751</v>
      </c>
      <c r="I2693" s="35" t="s">
        <v>14658</v>
      </c>
      <c r="J2693" s="36" t="s">
        <v>2228</v>
      </c>
    </row>
    <row r="2694" spans="1:10" x14ac:dyDescent="0.25">
      <c r="A2694" s="31" t="s">
        <v>2511</v>
      </c>
      <c r="B2694" s="31">
        <v>61.079900000000002</v>
      </c>
      <c r="C2694" s="32" t="s">
        <v>14661</v>
      </c>
      <c r="D2694" s="31" t="s">
        <v>14539</v>
      </c>
      <c r="E2694" s="40" t="s">
        <v>14662</v>
      </c>
      <c r="F2694" s="31" t="s">
        <v>9743</v>
      </c>
      <c r="G2694" s="34" t="s">
        <v>9751</v>
      </c>
      <c r="I2694" s="35" t="s">
        <v>14658</v>
      </c>
      <c r="J2694" s="36" t="s">
        <v>2511</v>
      </c>
    </row>
    <row r="2695" spans="1:10" x14ac:dyDescent="0.25">
      <c r="A2695" s="31" t="s">
        <v>2512</v>
      </c>
      <c r="B2695" s="31">
        <v>61.08</v>
      </c>
      <c r="C2695" s="32" t="s">
        <v>14663</v>
      </c>
      <c r="D2695" s="31" t="s">
        <v>14539</v>
      </c>
      <c r="E2695" s="40" t="s">
        <v>9752</v>
      </c>
      <c r="F2695" s="31" t="s">
        <v>9743</v>
      </c>
      <c r="G2695" s="34" t="s">
        <v>9752</v>
      </c>
      <c r="H2695" s="34" t="s">
        <v>9752</v>
      </c>
      <c r="I2695" s="35" t="s">
        <v>14663</v>
      </c>
      <c r="J2695" s="36" t="s">
        <v>2512</v>
      </c>
    </row>
    <row r="2696" spans="1:10" x14ac:dyDescent="0.25">
      <c r="A2696" s="31" t="s">
        <v>2230</v>
      </c>
      <c r="B2696" s="31">
        <v>61.080100000000002</v>
      </c>
      <c r="C2696" s="32" t="s">
        <v>14664</v>
      </c>
      <c r="D2696" s="31" t="s">
        <v>14539</v>
      </c>
      <c r="E2696" s="40" t="s">
        <v>14665</v>
      </c>
      <c r="F2696" s="31" t="s">
        <v>9743</v>
      </c>
      <c r="G2696" s="34" t="s">
        <v>9752</v>
      </c>
      <c r="I2696" s="35" t="s">
        <v>14663</v>
      </c>
      <c r="J2696" s="36" t="s">
        <v>2230</v>
      </c>
    </row>
    <row r="2697" spans="1:10" x14ac:dyDescent="0.25">
      <c r="A2697" s="31" t="s">
        <v>2513</v>
      </c>
      <c r="B2697" s="31">
        <v>61.080399999999997</v>
      </c>
      <c r="C2697" s="32" t="s">
        <v>14666</v>
      </c>
      <c r="D2697" s="31" t="s">
        <v>14539</v>
      </c>
      <c r="E2697" s="40" t="s">
        <v>14667</v>
      </c>
      <c r="F2697" s="31" t="s">
        <v>9743</v>
      </c>
      <c r="G2697" s="34" t="s">
        <v>9752</v>
      </c>
      <c r="I2697" s="35" t="s">
        <v>14663</v>
      </c>
      <c r="J2697" s="36" t="s">
        <v>2513</v>
      </c>
    </row>
    <row r="2698" spans="1:10" x14ac:dyDescent="0.25">
      <c r="A2698" s="31" t="s">
        <v>2514</v>
      </c>
      <c r="B2698" s="31">
        <v>61.080500000000001</v>
      </c>
      <c r="C2698" s="32" t="s">
        <v>14668</v>
      </c>
      <c r="D2698" s="31" t="s">
        <v>14539</v>
      </c>
      <c r="E2698" s="40" t="s">
        <v>14669</v>
      </c>
      <c r="F2698" s="31" t="s">
        <v>9743</v>
      </c>
      <c r="G2698" s="34" t="s">
        <v>9752</v>
      </c>
      <c r="I2698" s="35" t="s">
        <v>14663</v>
      </c>
      <c r="J2698" s="36" t="s">
        <v>2514</v>
      </c>
    </row>
    <row r="2699" spans="1:10" x14ac:dyDescent="0.25">
      <c r="A2699" s="31" t="s">
        <v>2515</v>
      </c>
      <c r="B2699" s="31">
        <v>61.080599999999997</v>
      </c>
      <c r="C2699" s="32" t="s">
        <v>14670</v>
      </c>
      <c r="D2699" s="31" t="s">
        <v>14539</v>
      </c>
      <c r="E2699" s="40" t="s">
        <v>14671</v>
      </c>
      <c r="F2699" s="31" t="s">
        <v>9743</v>
      </c>
      <c r="G2699" s="34" t="s">
        <v>9752</v>
      </c>
      <c r="I2699" s="35" t="s">
        <v>14663</v>
      </c>
      <c r="J2699" s="36" t="s">
        <v>2515</v>
      </c>
    </row>
    <row r="2700" spans="1:10" x14ac:dyDescent="0.25">
      <c r="A2700" s="31" t="s">
        <v>2516</v>
      </c>
      <c r="B2700" s="31">
        <v>61.0807</v>
      </c>
      <c r="C2700" s="32" t="s">
        <v>14672</v>
      </c>
      <c r="D2700" s="31" t="s">
        <v>14539</v>
      </c>
      <c r="E2700" s="40" t="s">
        <v>14673</v>
      </c>
      <c r="F2700" s="31" t="s">
        <v>9743</v>
      </c>
      <c r="G2700" s="34" t="s">
        <v>9752</v>
      </c>
      <c r="I2700" s="35" t="s">
        <v>14663</v>
      </c>
      <c r="J2700" s="36" t="s">
        <v>2516</v>
      </c>
    </row>
    <row r="2701" spans="1:10" x14ac:dyDescent="0.25">
      <c r="A2701" s="31" t="s">
        <v>2517</v>
      </c>
      <c r="B2701" s="31">
        <v>61.080800000000004</v>
      </c>
      <c r="C2701" s="32" t="s">
        <v>14674</v>
      </c>
      <c r="D2701" s="31" t="s">
        <v>14539</v>
      </c>
      <c r="E2701" s="40" t="s">
        <v>14675</v>
      </c>
      <c r="F2701" s="31" t="s">
        <v>9743</v>
      </c>
      <c r="G2701" s="34" t="s">
        <v>9752</v>
      </c>
      <c r="I2701" s="35" t="s">
        <v>14663</v>
      </c>
      <c r="J2701" s="36" t="s">
        <v>2517</v>
      </c>
    </row>
    <row r="2702" spans="1:10" x14ac:dyDescent="0.25">
      <c r="A2702" s="31" t="s">
        <v>2518</v>
      </c>
      <c r="B2702" s="31">
        <v>61.0809</v>
      </c>
      <c r="C2702" s="32" t="s">
        <v>14676</v>
      </c>
      <c r="D2702" s="31" t="s">
        <v>14539</v>
      </c>
      <c r="E2702" s="40" t="s">
        <v>14677</v>
      </c>
      <c r="F2702" s="31" t="s">
        <v>9743</v>
      </c>
      <c r="G2702" s="34" t="s">
        <v>9752</v>
      </c>
      <c r="I2702" s="35" t="s">
        <v>14663</v>
      </c>
      <c r="J2702" s="36" t="s">
        <v>2518</v>
      </c>
    </row>
    <row r="2703" spans="1:10" x14ac:dyDescent="0.25">
      <c r="A2703" s="31" t="s">
        <v>2519</v>
      </c>
      <c r="B2703" s="31">
        <v>61.081000000000003</v>
      </c>
      <c r="C2703" s="32" t="s">
        <v>14678</v>
      </c>
      <c r="D2703" s="31" t="s">
        <v>14539</v>
      </c>
      <c r="E2703" s="40" t="s">
        <v>14679</v>
      </c>
      <c r="F2703" s="31" t="s">
        <v>9743</v>
      </c>
      <c r="G2703" s="34" t="s">
        <v>9752</v>
      </c>
      <c r="I2703" s="35" t="s">
        <v>14663</v>
      </c>
      <c r="J2703" s="36" t="s">
        <v>2519</v>
      </c>
    </row>
    <row r="2704" spans="1:10" x14ac:dyDescent="0.25">
      <c r="A2704" s="31" t="s">
        <v>2520</v>
      </c>
      <c r="B2704" s="31">
        <v>61.081099999999999</v>
      </c>
      <c r="C2704" s="32" t="s">
        <v>14680</v>
      </c>
      <c r="D2704" s="31" t="s">
        <v>14539</v>
      </c>
      <c r="E2704" s="40" t="s">
        <v>14681</v>
      </c>
      <c r="F2704" s="31" t="s">
        <v>9743</v>
      </c>
      <c r="G2704" s="34" t="s">
        <v>9752</v>
      </c>
      <c r="I2704" s="35" t="s">
        <v>14663</v>
      </c>
      <c r="J2704" s="36" t="s">
        <v>2520</v>
      </c>
    </row>
    <row r="2705" spans="1:10" x14ac:dyDescent="0.25">
      <c r="A2705" s="31" t="s">
        <v>2521</v>
      </c>
      <c r="B2705" s="31">
        <v>61.081200000000003</v>
      </c>
      <c r="C2705" s="32" t="s">
        <v>14682</v>
      </c>
      <c r="D2705" s="31" t="s">
        <v>14539</v>
      </c>
      <c r="E2705" s="40" t="s">
        <v>14683</v>
      </c>
      <c r="F2705" s="31" t="s">
        <v>9743</v>
      </c>
      <c r="G2705" s="34" t="s">
        <v>9752</v>
      </c>
      <c r="I2705" s="35" t="s">
        <v>14663</v>
      </c>
      <c r="J2705" s="36" t="s">
        <v>2521</v>
      </c>
    </row>
    <row r="2706" spans="1:10" x14ac:dyDescent="0.25">
      <c r="A2706" s="31" t="s">
        <v>2522</v>
      </c>
      <c r="B2706" s="31">
        <v>61.081299999999999</v>
      </c>
      <c r="C2706" s="32" t="s">
        <v>14684</v>
      </c>
      <c r="D2706" s="31" t="s">
        <v>14539</v>
      </c>
      <c r="E2706" s="40" t="s">
        <v>14685</v>
      </c>
      <c r="F2706" s="31" t="s">
        <v>9743</v>
      </c>
      <c r="G2706" s="34" t="s">
        <v>9752</v>
      </c>
      <c r="I2706" s="35" t="s">
        <v>14663</v>
      </c>
      <c r="J2706" s="36" t="s">
        <v>2522</v>
      </c>
    </row>
    <row r="2707" spans="1:10" x14ac:dyDescent="0.25">
      <c r="A2707" s="31" t="s">
        <v>2523</v>
      </c>
      <c r="B2707" s="31">
        <v>61.081400000000002</v>
      </c>
      <c r="C2707" s="32" t="s">
        <v>14686</v>
      </c>
      <c r="D2707" s="31" t="s">
        <v>14539</v>
      </c>
      <c r="E2707" s="40" t="s">
        <v>14687</v>
      </c>
      <c r="F2707" s="31" t="s">
        <v>9743</v>
      </c>
      <c r="G2707" s="34" t="s">
        <v>9752</v>
      </c>
      <c r="I2707" s="35" t="s">
        <v>14663</v>
      </c>
      <c r="J2707" s="36" t="s">
        <v>2523</v>
      </c>
    </row>
    <row r="2708" spans="1:10" x14ac:dyDescent="0.25">
      <c r="A2708" s="31" t="s">
        <v>2524</v>
      </c>
      <c r="B2708" s="31">
        <v>61.081600000000002</v>
      </c>
      <c r="C2708" s="32" t="s">
        <v>14688</v>
      </c>
      <c r="D2708" s="31" t="s">
        <v>14539</v>
      </c>
      <c r="E2708" s="40" t="s">
        <v>14689</v>
      </c>
      <c r="F2708" s="31" t="s">
        <v>9743</v>
      </c>
      <c r="G2708" s="34" t="s">
        <v>9752</v>
      </c>
      <c r="I2708" s="35" t="s">
        <v>14663</v>
      </c>
      <c r="J2708" s="36" t="s">
        <v>2524</v>
      </c>
    </row>
    <row r="2709" spans="1:10" x14ac:dyDescent="0.25">
      <c r="A2709" s="31" t="s">
        <v>2525</v>
      </c>
      <c r="B2709" s="31">
        <v>61.081800000000001</v>
      </c>
      <c r="C2709" s="32" t="s">
        <v>14690</v>
      </c>
      <c r="D2709" s="31" t="s">
        <v>14539</v>
      </c>
      <c r="E2709" s="40" t="s">
        <v>14691</v>
      </c>
      <c r="F2709" s="31" t="s">
        <v>9743</v>
      </c>
      <c r="G2709" s="34" t="s">
        <v>9752</v>
      </c>
      <c r="I2709" s="35" t="s">
        <v>14663</v>
      </c>
      <c r="J2709" s="36" t="s">
        <v>2525</v>
      </c>
    </row>
    <row r="2710" spans="1:10" x14ac:dyDescent="0.25">
      <c r="A2710" s="31" t="s">
        <v>2526</v>
      </c>
      <c r="B2710" s="31">
        <v>61.0899</v>
      </c>
      <c r="C2710" s="32" t="s">
        <v>14692</v>
      </c>
      <c r="D2710" s="31" t="s">
        <v>14539</v>
      </c>
      <c r="E2710" s="40" t="s">
        <v>14693</v>
      </c>
      <c r="F2710" s="31" t="s">
        <v>9743</v>
      </c>
      <c r="G2710" s="34" t="s">
        <v>9752</v>
      </c>
      <c r="I2710" s="35" t="s">
        <v>14663</v>
      </c>
      <c r="J2710" s="36" t="s">
        <v>2526</v>
      </c>
    </row>
    <row r="2711" spans="1:10" x14ac:dyDescent="0.25">
      <c r="A2711" s="31" t="s">
        <v>2527</v>
      </c>
      <c r="B2711" s="31">
        <v>61.09</v>
      </c>
      <c r="C2711" s="32" t="s">
        <v>14694</v>
      </c>
      <c r="D2711" s="31" t="s">
        <v>14539</v>
      </c>
      <c r="E2711" s="40" t="s">
        <v>9753</v>
      </c>
      <c r="F2711" s="31" t="s">
        <v>9743</v>
      </c>
      <c r="G2711" s="34" t="s">
        <v>9753</v>
      </c>
      <c r="H2711" s="34" t="s">
        <v>9753</v>
      </c>
      <c r="I2711" s="35" t="s">
        <v>14694</v>
      </c>
      <c r="J2711" s="36" t="s">
        <v>2527</v>
      </c>
    </row>
    <row r="2712" spans="1:10" x14ac:dyDescent="0.25">
      <c r="A2712" s="31" t="s">
        <v>2220</v>
      </c>
      <c r="B2712" s="31">
        <v>61.0901</v>
      </c>
      <c r="C2712" s="32" t="s">
        <v>14695</v>
      </c>
      <c r="D2712" s="31" t="s">
        <v>14539</v>
      </c>
      <c r="E2712" s="40" t="s">
        <v>14696</v>
      </c>
      <c r="F2712" s="31" t="s">
        <v>9743</v>
      </c>
      <c r="G2712" s="34" t="s">
        <v>9753</v>
      </c>
      <c r="I2712" s="35" t="s">
        <v>14694</v>
      </c>
      <c r="J2712" s="36" t="s">
        <v>2220</v>
      </c>
    </row>
    <row r="2713" spans="1:10" x14ac:dyDescent="0.25">
      <c r="A2713" s="31" t="s">
        <v>2528</v>
      </c>
      <c r="B2713" s="31">
        <v>61.090200000000003</v>
      </c>
      <c r="C2713" s="32" t="s">
        <v>14697</v>
      </c>
      <c r="D2713" s="31" t="s">
        <v>14539</v>
      </c>
      <c r="E2713" s="40" t="s">
        <v>14698</v>
      </c>
      <c r="F2713" s="31" t="s">
        <v>9743</v>
      </c>
      <c r="G2713" s="34" t="s">
        <v>9753</v>
      </c>
      <c r="I2713" s="35" t="s">
        <v>14694</v>
      </c>
      <c r="J2713" s="36" t="s">
        <v>2528</v>
      </c>
    </row>
    <row r="2714" spans="1:10" x14ac:dyDescent="0.25">
      <c r="A2714" s="31" t="s">
        <v>2529</v>
      </c>
      <c r="B2714" s="31">
        <v>61.090299999999999</v>
      </c>
      <c r="C2714" s="32" t="s">
        <v>14699</v>
      </c>
      <c r="D2714" s="31" t="s">
        <v>14539</v>
      </c>
      <c r="E2714" s="40" t="s">
        <v>14700</v>
      </c>
      <c r="F2714" s="31" t="s">
        <v>9743</v>
      </c>
      <c r="G2714" s="34" t="s">
        <v>9753</v>
      </c>
      <c r="I2714" s="35" t="s">
        <v>14694</v>
      </c>
      <c r="J2714" s="36" t="s">
        <v>2529</v>
      </c>
    </row>
    <row r="2715" spans="1:10" x14ac:dyDescent="0.25">
      <c r="A2715" s="31" t="s">
        <v>2282</v>
      </c>
      <c r="B2715" s="31">
        <v>61.090400000000002</v>
      </c>
      <c r="C2715" s="32" t="s">
        <v>14701</v>
      </c>
      <c r="D2715" s="31" t="s">
        <v>14539</v>
      </c>
      <c r="E2715" s="40" t="s">
        <v>14702</v>
      </c>
      <c r="F2715" s="31" t="s">
        <v>9743</v>
      </c>
      <c r="G2715" s="34" t="s">
        <v>9753</v>
      </c>
      <c r="I2715" s="35" t="s">
        <v>14694</v>
      </c>
      <c r="J2715" s="36" t="s">
        <v>2282</v>
      </c>
    </row>
    <row r="2716" spans="1:10" x14ac:dyDescent="0.25">
      <c r="A2716" s="31" t="s">
        <v>2530</v>
      </c>
      <c r="B2716" s="31">
        <v>61.099899999999998</v>
      </c>
      <c r="C2716" s="32" t="s">
        <v>14703</v>
      </c>
      <c r="D2716" s="31" t="s">
        <v>14539</v>
      </c>
      <c r="E2716" s="40" t="s">
        <v>14704</v>
      </c>
      <c r="F2716" s="31" t="s">
        <v>9743</v>
      </c>
      <c r="G2716" s="34" t="s">
        <v>9753</v>
      </c>
      <c r="I2716" s="35" t="s">
        <v>14694</v>
      </c>
      <c r="J2716" s="36" t="s">
        <v>2530</v>
      </c>
    </row>
    <row r="2717" spans="1:10" x14ac:dyDescent="0.25">
      <c r="A2717" s="31" t="s">
        <v>2531</v>
      </c>
      <c r="B2717" s="31">
        <v>61.1</v>
      </c>
      <c r="C2717" s="32" t="s">
        <v>14705</v>
      </c>
      <c r="D2717" s="31" t="s">
        <v>14539</v>
      </c>
      <c r="E2717" s="40" t="s">
        <v>9754</v>
      </c>
      <c r="F2717" s="31" t="s">
        <v>9743</v>
      </c>
      <c r="G2717" s="34" t="s">
        <v>9754</v>
      </c>
      <c r="H2717" s="34" t="s">
        <v>9754</v>
      </c>
      <c r="I2717" s="35" t="s">
        <v>14705</v>
      </c>
      <c r="J2717" s="36" t="s">
        <v>2531</v>
      </c>
    </row>
    <row r="2718" spans="1:10" x14ac:dyDescent="0.25">
      <c r="A2718" s="31" t="s">
        <v>2231</v>
      </c>
      <c r="B2718" s="31">
        <v>61.100099999999998</v>
      </c>
      <c r="C2718" s="32" t="s">
        <v>14706</v>
      </c>
      <c r="D2718" s="31" t="s">
        <v>14539</v>
      </c>
      <c r="E2718" s="40" t="s">
        <v>14707</v>
      </c>
      <c r="F2718" s="31" t="s">
        <v>9743</v>
      </c>
      <c r="G2718" s="34" t="s">
        <v>9754</v>
      </c>
      <c r="I2718" s="35" t="s">
        <v>14705</v>
      </c>
      <c r="J2718" s="36" t="s">
        <v>2231</v>
      </c>
    </row>
    <row r="2719" spans="1:10" x14ac:dyDescent="0.25">
      <c r="A2719" s="31" t="s">
        <v>2532</v>
      </c>
      <c r="B2719" s="31">
        <v>61.109900000000003</v>
      </c>
      <c r="C2719" s="32" t="s">
        <v>14708</v>
      </c>
      <c r="D2719" s="31" t="s">
        <v>14539</v>
      </c>
      <c r="E2719" s="40" t="s">
        <v>14709</v>
      </c>
      <c r="F2719" s="31" t="s">
        <v>9743</v>
      </c>
      <c r="G2719" s="34" t="s">
        <v>9754</v>
      </c>
      <c r="I2719" s="35" t="s">
        <v>14705</v>
      </c>
      <c r="J2719" s="36" t="s">
        <v>2532</v>
      </c>
    </row>
    <row r="2720" spans="1:10" x14ac:dyDescent="0.25">
      <c r="A2720" s="31" t="s">
        <v>2533</v>
      </c>
      <c r="B2720" s="31">
        <v>61.11</v>
      </c>
      <c r="C2720" s="32" t="s">
        <v>14710</v>
      </c>
      <c r="D2720" s="31" t="s">
        <v>14539</v>
      </c>
      <c r="E2720" s="40" t="s">
        <v>9755</v>
      </c>
      <c r="F2720" s="31" t="s">
        <v>9743</v>
      </c>
      <c r="G2720" s="34" t="s">
        <v>9755</v>
      </c>
      <c r="H2720" s="34" t="s">
        <v>9755</v>
      </c>
      <c r="I2720" s="35" t="s">
        <v>14710</v>
      </c>
      <c r="J2720" s="36" t="s">
        <v>2533</v>
      </c>
    </row>
    <row r="2721" spans="1:10" x14ac:dyDescent="0.25">
      <c r="A2721" s="31" t="s">
        <v>2232</v>
      </c>
      <c r="B2721" s="31">
        <v>61.110100000000003</v>
      </c>
      <c r="C2721" s="32" t="s">
        <v>14711</v>
      </c>
      <c r="D2721" s="31" t="s">
        <v>14539</v>
      </c>
      <c r="E2721" s="40" t="s">
        <v>14712</v>
      </c>
      <c r="F2721" s="31" t="s">
        <v>9743</v>
      </c>
      <c r="G2721" s="34" t="s">
        <v>9755</v>
      </c>
      <c r="I2721" s="35" t="s">
        <v>14710</v>
      </c>
      <c r="J2721" s="36" t="s">
        <v>2232</v>
      </c>
    </row>
    <row r="2722" spans="1:10" x14ac:dyDescent="0.25">
      <c r="A2722" s="31" t="s">
        <v>2219</v>
      </c>
      <c r="B2722" s="31">
        <v>61.110199999999999</v>
      </c>
      <c r="C2722" s="32" t="s">
        <v>14713</v>
      </c>
      <c r="D2722" s="31" t="s">
        <v>14539</v>
      </c>
      <c r="E2722" s="40" t="s">
        <v>14714</v>
      </c>
      <c r="F2722" s="31" t="s">
        <v>9743</v>
      </c>
      <c r="G2722" s="34" t="s">
        <v>9755</v>
      </c>
      <c r="I2722" s="35" t="s">
        <v>14710</v>
      </c>
      <c r="J2722" s="36" t="s">
        <v>2219</v>
      </c>
    </row>
    <row r="2723" spans="1:10" x14ac:dyDescent="0.25">
      <c r="A2723" s="31" t="s">
        <v>2534</v>
      </c>
      <c r="B2723" s="31">
        <v>61.110300000000002</v>
      </c>
      <c r="C2723" s="32" t="s">
        <v>14715</v>
      </c>
      <c r="D2723" s="31" t="s">
        <v>14539</v>
      </c>
      <c r="E2723" s="40" t="s">
        <v>14716</v>
      </c>
      <c r="F2723" s="31" t="s">
        <v>9743</v>
      </c>
      <c r="G2723" s="34" t="s">
        <v>9755</v>
      </c>
      <c r="I2723" s="35" t="s">
        <v>14710</v>
      </c>
      <c r="J2723" s="36" t="s">
        <v>2534</v>
      </c>
    </row>
    <row r="2724" spans="1:10" x14ac:dyDescent="0.25">
      <c r="A2724" s="31" t="s">
        <v>2535</v>
      </c>
      <c r="B2724" s="31">
        <v>61.110399999999998</v>
      </c>
      <c r="C2724" s="32" t="s">
        <v>14717</v>
      </c>
      <c r="D2724" s="31" t="s">
        <v>14539</v>
      </c>
      <c r="E2724" s="40" t="s">
        <v>14718</v>
      </c>
      <c r="F2724" s="31" t="s">
        <v>9743</v>
      </c>
      <c r="G2724" s="34" t="s">
        <v>9755</v>
      </c>
      <c r="I2724" s="35" t="s">
        <v>14710</v>
      </c>
      <c r="J2724" s="36" t="s">
        <v>2535</v>
      </c>
    </row>
    <row r="2725" spans="1:10" x14ac:dyDescent="0.25">
      <c r="A2725" s="31" t="s">
        <v>2536</v>
      </c>
      <c r="B2725" s="31">
        <v>61.110500000000002</v>
      </c>
      <c r="C2725" s="32" t="s">
        <v>14719</v>
      </c>
      <c r="D2725" s="31" t="s">
        <v>14539</v>
      </c>
      <c r="E2725" s="40" t="s">
        <v>14720</v>
      </c>
      <c r="F2725" s="31" t="s">
        <v>9743</v>
      </c>
      <c r="G2725" s="34" t="s">
        <v>9755</v>
      </c>
      <c r="I2725" s="35" t="s">
        <v>14710</v>
      </c>
      <c r="J2725" s="36" t="s">
        <v>2536</v>
      </c>
    </row>
    <row r="2726" spans="1:10" x14ac:dyDescent="0.25">
      <c r="A2726" s="31" t="s">
        <v>2537</v>
      </c>
      <c r="B2726" s="31">
        <v>61.110599999999998</v>
      </c>
      <c r="C2726" s="32" t="s">
        <v>14721</v>
      </c>
      <c r="D2726" s="31" t="s">
        <v>14539</v>
      </c>
      <c r="E2726" s="40" t="s">
        <v>14722</v>
      </c>
      <c r="F2726" s="31" t="s">
        <v>9743</v>
      </c>
      <c r="G2726" s="34" t="s">
        <v>9755</v>
      </c>
      <c r="I2726" s="35" t="s">
        <v>14710</v>
      </c>
      <c r="J2726" s="36" t="s">
        <v>2537</v>
      </c>
    </row>
    <row r="2727" spans="1:10" x14ac:dyDescent="0.25">
      <c r="A2727" s="31" t="s">
        <v>2538</v>
      </c>
      <c r="B2727" s="31">
        <v>61.110700000000001</v>
      </c>
      <c r="C2727" s="32" t="s">
        <v>14723</v>
      </c>
      <c r="D2727" s="31" t="s">
        <v>14539</v>
      </c>
      <c r="E2727" s="40" t="s">
        <v>14724</v>
      </c>
      <c r="F2727" s="31" t="s">
        <v>9743</v>
      </c>
      <c r="G2727" s="34" t="s">
        <v>9755</v>
      </c>
      <c r="I2727" s="35" t="s">
        <v>14710</v>
      </c>
      <c r="J2727" s="36" t="s">
        <v>2538</v>
      </c>
    </row>
    <row r="2728" spans="1:10" x14ac:dyDescent="0.25">
      <c r="A2728" s="31" t="s">
        <v>2539</v>
      </c>
      <c r="B2728" s="31">
        <v>61.119900000000001</v>
      </c>
      <c r="C2728" s="32" t="s">
        <v>14725</v>
      </c>
      <c r="D2728" s="31" t="s">
        <v>14539</v>
      </c>
      <c r="E2728" s="40" t="s">
        <v>14726</v>
      </c>
      <c r="F2728" s="31" t="s">
        <v>9743</v>
      </c>
      <c r="G2728" s="34" t="s">
        <v>9755</v>
      </c>
      <c r="I2728" s="35" t="s">
        <v>14710</v>
      </c>
      <c r="J2728" s="36" t="s">
        <v>2539</v>
      </c>
    </row>
    <row r="2729" spans="1:10" x14ac:dyDescent="0.25">
      <c r="A2729" s="31" t="s">
        <v>2540</v>
      </c>
      <c r="B2729" s="31">
        <v>61.12</v>
      </c>
      <c r="C2729" s="32" t="s">
        <v>14727</v>
      </c>
      <c r="D2729" s="31" t="s">
        <v>14539</v>
      </c>
      <c r="E2729" s="40" t="s">
        <v>9756</v>
      </c>
      <c r="F2729" s="31" t="s">
        <v>9743</v>
      </c>
      <c r="G2729" s="34" t="s">
        <v>9756</v>
      </c>
      <c r="H2729" s="34" t="s">
        <v>9756</v>
      </c>
      <c r="I2729" s="35" t="s">
        <v>14727</v>
      </c>
      <c r="J2729" s="36" t="s">
        <v>2540</v>
      </c>
    </row>
    <row r="2730" spans="1:10" x14ac:dyDescent="0.25">
      <c r="A2730" s="31" t="s">
        <v>2233</v>
      </c>
      <c r="B2730" s="31">
        <v>61.120100000000001</v>
      </c>
      <c r="C2730" s="32" t="s">
        <v>14728</v>
      </c>
      <c r="D2730" s="31" t="s">
        <v>14539</v>
      </c>
      <c r="E2730" s="40" t="s">
        <v>14729</v>
      </c>
      <c r="F2730" s="31" t="s">
        <v>9743</v>
      </c>
      <c r="G2730" s="34" t="s">
        <v>9756</v>
      </c>
      <c r="I2730" s="35" t="s">
        <v>14727</v>
      </c>
      <c r="J2730" s="36" t="s">
        <v>2233</v>
      </c>
    </row>
    <row r="2731" spans="1:10" x14ac:dyDescent="0.25">
      <c r="A2731" s="31" t="s">
        <v>2541</v>
      </c>
      <c r="B2731" s="31">
        <v>61.129899999999999</v>
      </c>
      <c r="C2731" s="32" t="s">
        <v>14730</v>
      </c>
      <c r="D2731" s="31" t="s">
        <v>14539</v>
      </c>
      <c r="E2731" s="40" t="s">
        <v>14731</v>
      </c>
      <c r="F2731" s="31" t="s">
        <v>9743</v>
      </c>
      <c r="G2731" s="34" t="s">
        <v>9756</v>
      </c>
      <c r="I2731" s="35" t="s">
        <v>14727</v>
      </c>
      <c r="J2731" s="36" t="s">
        <v>2541</v>
      </c>
    </row>
    <row r="2732" spans="1:10" x14ac:dyDescent="0.25">
      <c r="A2732" s="31" t="s">
        <v>2542</v>
      </c>
      <c r="B2732" s="31">
        <v>61.13</v>
      </c>
      <c r="C2732" s="32" t="s">
        <v>14732</v>
      </c>
      <c r="D2732" s="31" t="s">
        <v>14539</v>
      </c>
      <c r="E2732" s="40" t="s">
        <v>9757</v>
      </c>
      <c r="F2732" s="31" t="s">
        <v>9743</v>
      </c>
      <c r="G2732" s="34" t="s">
        <v>9757</v>
      </c>
      <c r="H2732" s="34" t="s">
        <v>9757</v>
      </c>
      <c r="I2732" s="35" t="s">
        <v>14732</v>
      </c>
      <c r="J2732" s="36" t="s">
        <v>2542</v>
      </c>
    </row>
    <row r="2733" spans="1:10" x14ac:dyDescent="0.25">
      <c r="A2733" s="31" t="s">
        <v>2234</v>
      </c>
      <c r="B2733" s="31">
        <v>61.130099999999999</v>
      </c>
      <c r="C2733" s="32" t="s">
        <v>14733</v>
      </c>
      <c r="D2733" s="31" t="s">
        <v>14539</v>
      </c>
      <c r="E2733" s="40" t="s">
        <v>14734</v>
      </c>
      <c r="F2733" s="31" t="s">
        <v>9743</v>
      </c>
      <c r="G2733" s="34" t="s">
        <v>9757</v>
      </c>
      <c r="I2733" s="35" t="s">
        <v>14732</v>
      </c>
      <c r="J2733" s="36" t="s">
        <v>2234</v>
      </c>
    </row>
    <row r="2734" spans="1:10" x14ac:dyDescent="0.25">
      <c r="A2734" s="31" t="s">
        <v>2543</v>
      </c>
      <c r="B2734" s="31">
        <v>61.130200000000002</v>
      </c>
      <c r="C2734" s="32" t="s">
        <v>14735</v>
      </c>
      <c r="D2734" s="31" t="s">
        <v>14539</v>
      </c>
      <c r="E2734" s="40" t="s">
        <v>14736</v>
      </c>
      <c r="F2734" s="31" t="s">
        <v>9743</v>
      </c>
      <c r="G2734" s="34" t="s">
        <v>9757</v>
      </c>
      <c r="I2734" s="35" t="s">
        <v>14732</v>
      </c>
      <c r="J2734" s="36" t="s">
        <v>2543</v>
      </c>
    </row>
    <row r="2735" spans="1:10" x14ac:dyDescent="0.25">
      <c r="A2735" s="31" t="s">
        <v>2544</v>
      </c>
      <c r="B2735" s="31">
        <v>61.130299999999998</v>
      </c>
      <c r="C2735" s="32" t="s">
        <v>14737</v>
      </c>
      <c r="D2735" s="31" t="s">
        <v>14539</v>
      </c>
      <c r="E2735" s="40" t="s">
        <v>14738</v>
      </c>
      <c r="F2735" s="31" t="s">
        <v>9743</v>
      </c>
      <c r="G2735" s="34" t="s">
        <v>9757</v>
      </c>
      <c r="I2735" s="35" t="s">
        <v>14732</v>
      </c>
      <c r="J2735" s="36" t="s">
        <v>2544</v>
      </c>
    </row>
    <row r="2736" spans="1:10" x14ac:dyDescent="0.25">
      <c r="A2736" s="31" t="s">
        <v>2545</v>
      </c>
      <c r="B2736" s="31">
        <v>61.130400000000002</v>
      </c>
      <c r="C2736" s="32" t="s">
        <v>14739</v>
      </c>
      <c r="D2736" s="31" t="s">
        <v>14539</v>
      </c>
      <c r="E2736" s="40" t="s">
        <v>14740</v>
      </c>
      <c r="F2736" s="31" t="s">
        <v>9743</v>
      </c>
      <c r="G2736" s="34" t="s">
        <v>9757</v>
      </c>
      <c r="I2736" s="35" t="s">
        <v>14732</v>
      </c>
      <c r="J2736" s="36" t="s">
        <v>2545</v>
      </c>
    </row>
    <row r="2737" spans="1:10" x14ac:dyDescent="0.25">
      <c r="A2737" s="31" t="s">
        <v>2546</v>
      </c>
      <c r="B2737" s="31">
        <v>61.139899999999997</v>
      </c>
      <c r="C2737" s="32" t="s">
        <v>14741</v>
      </c>
      <c r="D2737" s="31" t="s">
        <v>14539</v>
      </c>
      <c r="E2737" s="40" t="s">
        <v>14742</v>
      </c>
      <c r="F2737" s="31" t="s">
        <v>9743</v>
      </c>
      <c r="G2737" s="34" t="s">
        <v>9757</v>
      </c>
      <c r="I2737" s="35" t="s">
        <v>14732</v>
      </c>
      <c r="J2737" s="36" t="s">
        <v>2546</v>
      </c>
    </row>
    <row r="2738" spans="1:10" x14ac:dyDescent="0.25">
      <c r="A2738" s="31" t="s">
        <v>2547</v>
      </c>
      <c r="B2738" s="31">
        <v>61.14</v>
      </c>
      <c r="C2738" s="32" t="s">
        <v>14743</v>
      </c>
      <c r="D2738" s="31" t="s">
        <v>14539</v>
      </c>
      <c r="E2738" s="40" t="s">
        <v>9758</v>
      </c>
      <c r="F2738" s="31" t="s">
        <v>9743</v>
      </c>
      <c r="G2738" s="34" t="s">
        <v>9758</v>
      </c>
      <c r="H2738" s="34" t="s">
        <v>9758</v>
      </c>
      <c r="I2738" s="35" t="s">
        <v>14743</v>
      </c>
      <c r="J2738" s="36" t="s">
        <v>2547</v>
      </c>
    </row>
    <row r="2739" spans="1:10" x14ac:dyDescent="0.25">
      <c r="A2739" s="31" t="s">
        <v>2236</v>
      </c>
      <c r="B2739" s="31">
        <v>61.140099999999997</v>
      </c>
      <c r="C2739" s="32" t="s">
        <v>14744</v>
      </c>
      <c r="D2739" s="31" t="s">
        <v>14539</v>
      </c>
      <c r="E2739" s="40" t="s">
        <v>14745</v>
      </c>
      <c r="F2739" s="31" t="s">
        <v>9743</v>
      </c>
      <c r="G2739" s="34" t="s">
        <v>9758</v>
      </c>
      <c r="I2739" s="35" t="s">
        <v>14743</v>
      </c>
      <c r="J2739" s="36" t="s">
        <v>2236</v>
      </c>
    </row>
    <row r="2740" spans="1:10" x14ac:dyDescent="0.25">
      <c r="A2740" s="31" t="s">
        <v>2548</v>
      </c>
      <c r="B2740" s="31">
        <v>61.149900000000002</v>
      </c>
      <c r="C2740" s="32" t="s">
        <v>14746</v>
      </c>
      <c r="D2740" s="31" t="s">
        <v>14539</v>
      </c>
      <c r="E2740" s="40" t="s">
        <v>14747</v>
      </c>
      <c r="F2740" s="31" t="s">
        <v>9743</v>
      </c>
      <c r="G2740" s="34" t="s">
        <v>9758</v>
      </c>
      <c r="I2740" s="35" t="s">
        <v>14743</v>
      </c>
      <c r="J2740" s="36" t="s">
        <v>2548</v>
      </c>
    </row>
    <row r="2741" spans="1:10" x14ac:dyDescent="0.25">
      <c r="A2741" s="31" t="s">
        <v>2549</v>
      </c>
      <c r="B2741" s="31">
        <v>61.15</v>
      </c>
      <c r="C2741" s="32" t="s">
        <v>14748</v>
      </c>
      <c r="D2741" s="31" t="s">
        <v>14539</v>
      </c>
      <c r="E2741" s="40" t="s">
        <v>9759</v>
      </c>
      <c r="F2741" s="31" t="s">
        <v>9743</v>
      </c>
      <c r="G2741" s="34" t="s">
        <v>9759</v>
      </c>
      <c r="H2741" s="34" t="s">
        <v>9759</v>
      </c>
      <c r="I2741" s="35" t="s">
        <v>14748</v>
      </c>
      <c r="J2741" s="36" t="s">
        <v>2549</v>
      </c>
    </row>
    <row r="2742" spans="1:10" x14ac:dyDescent="0.25">
      <c r="A2742" s="31" t="s">
        <v>2237</v>
      </c>
      <c r="B2742" s="31">
        <v>61.150100000000002</v>
      </c>
      <c r="C2742" s="32" t="s">
        <v>14749</v>
      </c>
      <c r="D2742" s="31" t="s">
        <v>14539</v>
      </c>
      <c r="E2742" s="40" t="s">
        <v>14750</v>
      </c>
      <c r="F2742" s="31" t="s">
        <v>9743</v>
      </c>
      <c r="G2742" s="34" t="s">
        <v>9759</v>
      </c>
      <c r="I2742" s="35" t="s">
        <v>14748</v>
      </c>
      <c r="J2742" s="36" t="s">
        <v>2237</v>
      </c>
    </row>
    <row r="2743" spans="1:10" x14ac:dyDescent="0.25">
      <c r="A2743" s="31" t="s">
        <v>2550</v>
      </c>
      <c r="B2743" s="31">
        <v>61.150199999999998</v>
      </c>
      <c r="C2743" s="32" t="s">
        <v>14751</v>
      </c>
      <c r="D2743" s="31" t="s">
        <v>14539</v>
      </c>
      <c r="E2743" s="40" t="s">
        <v>14752</v>
      </c>
      <c r="F2743" s="31" t="s">
        <v>9743</v>
      </c>
      <c r="G2743" s="34" t="s">
        <v>9759</v>
      </c>
      <c r="I2743" s="35" t="s">
        <v>14748</v>
      </c>
      <c r="J2743" s="36" t="s">
        <v>2550</v>
      </c>
    </row>
    <row r="2744" spans="1:10" x14ac:dyDescent="0.25">
      <c r="A2744" s="31" t="s">
        <v>2551</v>
      </c>
      <c r="B2744" s="31">
        <v>61.150300000000001</v>
      </c>
      <c r="C2744" s="32" t="s">
        <v>14753</v>
      </c>
      <c r="D2744" s="31" t="s">
        <v>14539</v>
      </c>
      <c r="E2744" s="40" t="s">
        <v>14754</v>
      </c>
      <c r="F2744" s="31" t="s">
        <v>9743</v>
      </c>
      <c r="G2744" s="34" t="s">
        <v>9759</v>
      </c>
      <c r="I2744" s="35" t="s">
        <v>14748</v>
      </c>
      <c r="J2744" s="36" t="s">
        <v>2551</v>
      </c>
    </row>
    <row r="2745" spans="1:10" x14ac:dyDescent="0.25">
      <c r="A2745" s="31" t="s">
        <v>2552</v>
      </c>
      <c r="B2745" s="31">
        <v>61.150399999999998</v>
      </c>
      <c r="C2745" s="32" t="s">
        <v>14755</v>
      </c>
      <c r="D2745" s="31" t="s">
        <v>14539</v>
      </c>
      <c r="E2745" s="40" t="s">
        <v>14756</v>
      </c>
      <c r="F2745" s="31" t="s">
        <v>9743</v>
      </c>
      <c r="G2745" s="34" t="s">
        <v>9759</v>
      </c>
      <c r="I2745" s="35" t="s">
        <v>14748</v>
      </c>
      <c r="J2745" s="36" t="s">
        <v>2552</v>
      </c>
    </row>
    <row r="2746" spans="1:10" x14ac:dyDescent="0.25">
      <c r="A2746" s="31" t="s">
        <v>2553</v>
      </c>
      <c r="B2746" s="31">
        <v>61.150500000000001</v>
      </c>
      <c r="C2746" s="32" t="s">
        <v>14757</v>
      </c>
      <c r="D2746" s="31" t="s">
        <v>14539</v>
      </c>
      <c r="E2746" s="40" t="s">
        <v>14758</v>
      </c>
      <c r="F2746" s="31" t="s">
        <v>9743</v>
      </c>
      <c r="G2746" s="34" t="s">
        <v>9759</v>
      </c>
      <c r="I2746" s="35" t="s">
        <v>14748</v>
      </c>
      <c r="J2746" s="36" t="s">
        <v>2553</v>
      </c>
    </row>
    <row r="2747" spans="1:10" x14ac:dyDescent="0.25">
      <c r="A2747" s="31" t="s">
        <v>2554</v>
      </c>
      <c r="B2747" s="31">
        <v>61.1599</v>
      </c>
      <c r="C2747" s="32" t="s">
        <v>14759</v>
      </c>
      <c r="D2747" s="31" t="s">
        <v>14539</v>
      </c>
      <c r="E2747" s="40" t="s">
        <v>14760</v>
      </c>
      <c r="F2747" s="31" t="s">
        <v>9743</v>
      </c>
      <c r="G2747" s="34" t="s">
        <v>9759</v>
      </c>
      <c r="I2747" s="35" t="s">
        <v>14748</v>
      </c>
      <c r="J2747" s="36" t="s">
        <v>2554</v>
      </c>
    </row>
    <row r="2748" spans="1:10" x14ac:dyDescent="0.25">
      <c r="A2748" s="31" t="s">
        <v>2555</v>
      </c>
      <c r="B2748" s="31">
        <v>61.16</v>
      </c>
      <c r="C2748" s="32" t="s">
        <v>14761</v>
      </c>
      <c r="D2748" s="31" t="s">
        <v>14539</v>
      </c>
      <c r="E2748" s="40" t="s">
        <v>9760</v>
      </c>
      <c r="F2748" s="31" t="s">
        <v>9743</v>
      </c>
      <c r="G2748" s="34" t="s">
        <v>9760</v>
      </c>
      <c r="H2748" s="34" t="s">
        <v>9760</v>
      </c>
      <c r="I2748" s="35" t="s">
        <v>14761</v>
      </c>
      <c r="J2748" s="36" t="s">
        <v>2555</v>
      </c>
    </row>
    <row r="2749" spans="1:10" x14ac:dyDescent="0.25">
      <c r="A2749" s="31" t="s">
        <v>2556</v>
      </c>
      <c r="B2749" s="31">
        <v>61.1601</v>
      </c>
      <c r="C2749" s="32" t="s">
        <v>14762</v>
      </c>
      <c r="D2749" s="31" t="s">
        <v>14539</v>
      </c>
      <c r="E2749" s="40" t="s">
        <v>14763</v>
      </c>
      <c r="F2749" s="31" t="s">
        <v>9743</v>
      </c>
      <c r="G2749" s="34" t="s">
        <v>9760</v>
      </c>
      <c r="I2749" s="35" t="s">
        <v>14761</v>
      </c>
      <c r="J2749" s="36" t="s">
        <v>2556</v>
      </c>
    </row>
    <row r="2750" spans="1:10" x14ac:dyDescent="0.25">
      <c r="A2750" s="31" t="s">
        <v>2557</v>
      </c>
      <c r="B2750" s="31">
        <v>61.169899999999998</v>
      </c>
      <c r="C2750" s="32" t="s">
        <v>14764</v>
      </c>
      <c r="D2750" s="31" t="s">
        <v>14539</v>
      </c>
      <c r="E2750" s="40" t="s">
        <v>14765</v>
      </c>
      <c r="F2750" s="31" t="s">
        <v>9743</v>
      </c>
      <c r="G2750" s="34" t="s">
        <v>9760</v>
      </c>
      <c r="I2750" s="35" t="s">
        <v>14761</v>
      </c>
      <c r="J2750" s="36" t="s">
        <v>2557</v>
      </c>
    </row>
    <row r="2751" spans="1:10" x14ac:dyDescent="0.25">
      <c r="A2751" s="31" t="s">
        <v>2558</v>
      </c>
      <c r="B2751" s="31">
        <v>61.17</v>
      </c>
      <c r="C2751" s="32" t="s">
        <v>14766</v>
      </c>
      <c r="D2751" s="31" t="s">
        <v>14539</v>
      </c>
      <c r="E2751" s="40" t="s">
        <v>9761</v>
      </c>
      <c r="F2751" s="31" t="s">
        <v>9743</v>
      </c>
      <c r="G2751" s="34" t="s">
        <v>9761</v>
      </c>
      <c r="H2751" s="34" t="s">
        <v>9761</v>
      </c>
      <c r="I2751" s="35" t="s">
        <v>14766</v>
      </c>
      <c r="J2751" s="36" t="s">
        <v>2558</v>
      </c>
    </row>
    <row r="2752" spans="1:10" x14ac:dyDescent="0.25">
      <c r="A2752" s="31" t="s">
        <v>2238</v>
      </c>
      <c r="B2752" s="31">
        <v>61.170099999999998</v>
      </c>
      <c r="C2752" s="32" t="s">
        <v>14767</v>
      </c>
      <c r="D2752" s="31" t="s">
        <v>14539</v>
      </c>
      <c r="E2752" s="40" t="s">
        <v>14768</v>
      </c>
      <c r="F2752" s="31" t="s">
        <v>9743</v>
      </c>
      <c r="G2752" s="34" t="s">
        <v>9761</v>
      </c>
      <c r="I2752" s="35" t="s">
        <v>14766</v>
      </c>
      <c r="J2752" s="36" t="s">
        <v>2238</v>
      </c>
    </row>
    <row r="2753" spans="1:10" x14ac:dyDescent="0.25">
      <c r="A2753" s="31" t="s">
        <v>2559</v>
      </c>
      <c r="B2753" s="31">
        <v>61.170200000000001</v>
      </c>
      <c r="C2753" s="32" t="s">
        <v>14769</v>
      </c>
      <c r="D2753" s="31" t="s">
        <v>14539</v>
      </c>
      <c r="E2753" s="40" t="s">
        <v>14770</v>
      </c>
      <c r="F2753" s="31" t="s">
        <v>9743</v>
      </c>
      <c r="G2753" s="34" t="s">
        <v>9761</v>
      </c>
      <c r="I2753" s="35" t="s">
        <v>14766</v>
      </c>
      <c r="J2753" s="36" t="s">
        <v>2559</v>
      </c>
    </row>
    <row r="2754" spans="1:10" x14ac:dyDescent="0.25">
      <c r="A2754" s="31" t="s">
        <v>2560</v>
      </c>
      <c r="B2754" s="31">
        <v>61.170299999999997</v>
      </c>
      <c r="C2754" s="32" t="s">
        <v>14771</v>
      </c>
      <c r="D2754" s="31" t="s">
        <v>14539</v>
      </c>
      <c r="E2754" s="40" t="s">
        <v>14772</v>
      </c>
      <c r="F2754" s="31" t="s">
        <v>9743</v>
      </c>
      <c r="G2754" s="34" t="s">
        <v>9761</v>
      </c>
      <c r="I2754" s="35" t="s">
        <v>14766</v>
      </c>
      <c r="J2754" s="36" t="s">
        <v>2560</v>
      </c>
    </row>
    <row r="2755" spans="1:10" x14ac:dyDescent="0.25">
      <c r="A2755" s="31" t="s">
        <v>2561</v>
      </c>
      <c r="B2755" s="31">
        <v>61.179900000000004</v>
      </c>
      <c r="C2755" s="32" t="s">
        <v>14773</v>
      </c>
      <c r="D2755" s="31" t="s">
        <v>14539</v>
      </c>
      <c r="E2755" s="40" t="s">
        <v>14774</v>
      </c>
      <c r="F2755" s="31" t="s">
        <v>9743</v>
      </c>
      <c r="G2755" s="34" t="s">
        <v>9761</v>
      </c>
      <c r="I2755" s="35" t="s">
        <v>14766</v>
      </c>
      <c r="J2755" s="36" t="s">
        <v>2561</v>
      </c>
    </row>
    <row r="2756" spans="1:10" x14ac:dyDescent="0.25">
      <c r="A2756" s="31" t="s">
        <v>2562</v>
      </c>
      <c r="B2756" s="31">
        <v>61.18</v>
      </c>
      <c r="C2756" s="32" t="s">
        <v>14775</v>
      </c>
      <c r="D2756" s="31" t="s">
        <v>14539</v>
      </c>
      <c r="E2756" s="40" t="s">
        <v>9762</v>
      </c>
      <c r="F2756" s="31" t="s">
        <v>9743</v>
      </c>
      <c r="G2756" s="34" t="s">
        <v>9762</v>
      </c>
      <c r="H2756" s="34" t="s">
        <v>9762</v>
      </c>
      <c r="I2756" s="35" t="s">
        <v>14775</v>
      </c>
      <c r="J2756" s="36" t="s">
        <v>2562</v>
      </c>
    </row>
    <row r="2757" spans="1:10" x14ac:dyDescent="0.25">
      <c r="A2757" s="31" t="s">
        <v>2563</v>
      </c>
      <c r="B2757" s="31">
        <v>61.180100000000003</v>
      </c>
      <c r="C2757" s="32" t="s">
        <v>14776</v>
      </c>
      <c r="D2757" s="31" t="s">
        <v>14539</v>
      </c>
      <c r="E2757" s="40" t="s">
        <v>14777</v>
      </c>
      <c r="F2757" s="31" t="s">
        <v>9743</v>
      </c>
      <c r="G2757" s="34" t="s">
        <v>9762</v>
      </c>
      <c r="I2757" s="35" t="s">
        <v>14775</v>
      </c>
      <c r="J2757" s="36" t="s">
        <v>2563</v>
      </c>
    </row>
    <row r="2758" spans="1:10" x14ac:dyDescent="0.25">
      <c r="A2758" s="31" t="s">
        <v>2564</v>
      </c>
      <c r="B2758" s="31">
        <v>61.180199999999999</v>
      </c>
      <c r="C2758" s="32" t="s">
        <v>14778</v>
      </c>
      <c r="D2758" s="31" t="s">
        <v>14539</v>
      </c>
      <c r="E2758" s="40" t="s">
        <v>14779</v>
      </c>
      <c r="F2758" s="31" t="s">
        <v>9743</v>
      </c>
      <c r="G2758" s="34" t="s">
        <v>9762</v>
      </c>
      <c r="I2758" s="35" t="s">
        <v>14775</v>
      </c>
      <c r="J2758" s="36" t="s">
        <v>2564</v>
      </c>
    </row>
    <row r="2759" spans="1:10" x14ac:dyDescent="0.25">
      <c r="A2759" s="31" t="s">
        <v>2565</v>
      </c>
      <c r="B2759" s="31">
        <v>61.180300000000003</v>
      </c>
      <c r="C2759" s="32" t="s">
        <v>14780</v>
      </c>
      <c r="D2759" s="31" t="s">
        <v>14539</v>
      </c>
      <c r="E2759" s="40" t="s">
        <v>14781</v>
      </c>
      <c r="F2759" s="31" t="s">
        <v>9743</v>
      </c>
      <c r="G2759" s="34" t="s">
        <v>9762</v>
      </c>
      <c r="I2759" s="35" t="s">
        <v>14775</v>
      </c>
      <c r="J2759" s="36" t="s">
        <v>2565</v>
      </c>
    </row>
    <row r="2760" spans="1:10" x14ac:dyDescent="0.25">
      <c r="A2760" s="31" t="s">
        <v>2566</v>
      </c>
      <c r="B2760" s="31">
        <v>61.180399999999999</v>
      </c>
      <c r="C2760" s="32" t="s">
        <v>14782</v>
      </c>
      <c r="D2760" s="31" t="s">
        <v>14539</v>
      </c>
      <c r="E2760" s="40" t="s">
        <v>14783</v>
      </c>
      <c r="F2760" s="31" t="s">
        <v>9743</v>
      </c>
      <c r="G2760" s="34" t="s">
        <v>9762</v>
      </c>
      <c r="I2760" s="35" t="s">
        <v>14775</v>
      </c>
      <c r="J2760" s="36" t="s">
        <v>2566</v>
      </c>
    </row>
    <row r="2761" spans="1:10" x14ac:dyDescent="0.25">
      <c r="A2761" s="31" t="s">
        <v>2567</v>
      </c>
      <c r="B2761" s="31">
        <v>61.180500000000002</v>
      </c>
      <c r="C2761" s="32" t="s">
        <v>14784</v>
      </c>
      <c r="D2761" s="31" t="s">
        <v>14539</v>
      </c>
      <c r="E2761" s="40" t="s">
        <v>14785</v>
      </c>
      <c r="F2761" s="31" t="s">
        <v>9743</v>
      </c>
      <c r="G2761" s="34" t="s">
        <v>9762</v>
      </c>
      <c r="I2761" s="35" t="s">
        <v>14775</v>
      </c>
      <c r="J2761" s="36" t="s">
        <v>2567</v>
      </c>
    </row>
    <row r="2762" spans="1:10" x14ac:dyDescent="0.25">
      <c r="A2762" s="31" t="s">
        <v>2568</v>
      </c>
      <c r="B2762" s="31">
        <v>61.180599999999998</v>
      </c>
      <c r="C2762" s="32" t="s">
        <v>14786</v>
      </c>
      <c r="D2762" s="31" t="s">
        <v>14539</v>
      </c>
      <c r="E2762" s="40" t="s">
        <v>14787</v>
      </c>
      <c r="F2762" s="31" t="s">
        <v>9743</v>
      </c>
      <c r="G2762" s="34" t="s">
        <v>9762</v>
      </c>
      <c r="I2762" s="35" t="s">
        <v>14775</v>
      </c>
      <c r="J2762" s="36" t="s">
        <v>2568</v>
      </c>
    </row>
    <row r="2763" spans="1:10" x14ac:dyDescent="0.25">
      <c r="A2763" s="31" t="s">
        <v>2569</v>
      </c>
      <c r="B2763" s="31">
        <v>61.180700000000002</v>
      </c>
      <c r="C2763" s="32" t="s">
        <v>14788</v>
      </c>
      <c r="D2763" s="31" t="s">
        <v>14539</v>
      </c>
      <c r="E2763" s="40" t="s">
        <v>14789</v>
      </c>
      <c r="F2763" s="31" t="s">
        <v>9743</v>
      </c>
      <c r="G2763" s="34" t="s">
        <v>9762</v>
      </c>
      <c r="I2763" s="35" t="s">
        <v>14775</v>
      </c>
      <c r="J2763" s="36" t="s">
        <v>2569</v>
      </c>
    </row>
    <row r="2764" spans="1:10" x14ac:dyDescent="0.25">
      <c r="A2764" s="31" t="s">
        <v>2570</v>
      </c>
      <c r="B2764" s="31">
        <v>61.180799999999998</v>
      </c>
      <c r="C2764" s="32" t="s">
        <v>14790</v>
      </c>
      <c r="D2764" s="31" t="s">
        <v>14539</v>
      </c>
      <c r="E2764" s="40" t="s">
        <v>14791</v>
      </c>
      <c r="F2764" s="31" t="s">
        <v>9743</v>
      </c>
      <c r="G2764" s="34" t="s">
        <v>9762</v>
      </c>
      <c r="I2764" s="35" t="s">
        <v>14775</v>
      </c>
      <c r="J2764" s="36" t="s">
        <v>2570</v>
      </c>
    </row>
    <row r="2765" spans="1:10" x14ac:dyDescent="0.25">
      <c r="A2765" s="31" t="s">
        <v>2571</v>
      </c>
      <c r="B2765" s="31">
        <v>61.180900000000001</v>
      </c>
      <c r="C2765" s="32" t="s">
        <v>14792</v>
      </c>
      <c r="D2765" s="31" t="s">
        <v>14539</v>
      </c>
      <c r="E2765" s="40" t="s">
        <v>14793</v>
      </c>
      <c r="F2765" s="31" t="s">
        <v>9743</v>
      </c>
      <c r="G2765" s="34" t="s">
        <v>9762</v>
      </c>
      <c r="I2765" s="35" t="s">
        <v>14775</v>
      </c>
      <c r="J2765" s="36" t="s">
        <v>2571</v>
      </c>
    </row>
    <row r="2766" spans="1:10" x14ac:dyDescent="0.25">
      <c r="A2766" s="31" t="s">
        <v>2572</v>
      </c>
      <c r="B2766" s="31">
        <v>61.180999999999997</v>
      </c>
      <c r="C2766" s="32" t="s">
        <v>14794</v>
      </c>
      <c r="D2766" s="31" t="s">
        <v>14539</v>
      </c>
      <c r="E2766" s="40" t="s">
        <v>14795</v>
      </c>
      <c r="F2766" s="31" t="s">
        <v>9743</v>
      </c>
      <c r="G2766" s="34" t="s">
        <v>9762</v>
      </c>
      <c r="I2766" s="35" t="s">
        <v>14775</v>
      </c>
      <c r="J2766" s="36" t="s">
        <v>2572</v>
      </c>
    </row>
    <row r="2767" spans="1:10" x14ac:dyDescent="0.25">
      <c r="A2767" s="31" t="s">
        <v>2573</v>
      </c>
      <c r="B2767" s="31">
        <v>61.181100000000001</v>
      </c>
      <c r="C2767" s="32" t="s">
        <v>14796</v>
      </c>
      <c r="D2767" s="31" t="s">
        <v>14539</v>
      </c>
      <c r="E2767" s="40" t="s">
        <v>14797</v>
      </c>
      <c r="F2767" s="31" t="s">
        <v>9743</v>
      </c>
      <c r="G2767" s="34" t="s">
        <v>9762</v>
      </c>
      <c r="I2767" s="35" t="s">
        <v>14775</v>
      </c>
      <c r="J2767" s="36" t="s">
        <v>2573</v>
      </c>
    </row>
    <row r="2768" spans="1:10" x14ac:dyDescent="0.25">
      <c r="A2768" s="31" t="s">
        <v>2574</v>
      </c>
      <c r="B2768" s="31">
        <v>61.181199999999997</v>
      </c>
      <c r="C2768" s="32" t="s">
        <v>14798</v>
      </c>
      <c r="D2768" s="31" t="s">
        <v>14539</v>
      </c>
      <c r="E2768" s="40" t="s">
        <v>14799</v>
      </c>
      <c r="F2768" s="31" t="s">
        <v>9743</v>
      </c>
      <c r="G2768" s="34" t="s">
        <v>9762</v>
      </c>
      <c r="I2768" s="35" t="s">
        <v>14775</v>
      </c>
      <c r="J2768" s="36" t="s">
        <v>2574</v>
      </c>
    </row>
    <row r="2769" spans="1:10" x14ac:dyDescent="0.25">
      <c r="A2769" s="31" t="s">
        <v>2575</v>
      </c>
      <c r="B2769" s="31">
        <v>61.1813</v>
      </c>
      <c r="C2769" s="32" t="s">
        <v>14800</v>
      </c>
      <c r="D2769" s="31" t="s">
        <v>14539</v>
      </c>
      <c r="E2769" s="40" t="s">
        <v>14801</v>
      </c>
      <c r="F2769" s="31" t="s">
        <v>9743</v>
      </c>
      <c r="G2769" s="34" t="s">
        <v>9762</v>
      </c>
      <c r="I2769" s="35" t="s">
        <v>14775</v>
      </c>
      <c r="J2769" s="36" t="s">
        <v>2575</v>
      </c>
    </row>
    <row r="2770" spans="1:10" x14ac:dyDescent="0.25">
      <c r="A2770" s="31" t="s">
        <v>2576</v>
      </c>
      <c r="B2770" s="31">
        <v>61.181399999999996</v>
      </c>
      <c r="C2770" s="32" t="s">
        <v>14802</v>
      </c>
      <c r="D2770" s="31" t="s">
        <v>14539</v>
      </c>
      <c r="E2770" s="40" t="s">
        <v>14803</v>
      </c>
      <c r="F2770" s="31" t="s">
        <v>9743</v>
      </c>
      <c r="G2770" s="34" t="s">
        <v>9762</v>
      </c>
      <c r="I2770" s="35" t="s">
        <v>14775</v>
      </c>
      <c r="J2770" s="36" t="s">
        <v>2576</v>
      </c>
    </row>
    <row r="2771" spans="1:10" x14ac:dyDescent="0.25">
      <c r="A2771" s="31" t="s">
        <v>2577</v>
      </c>
      <c r="B2771" s="31">
        <v>61.1815</v>
      </c>
      <c r="C2771" s="32" t="s">
        <v>14804</v>
      </c>
      <c r="D2771" s="31" t="s">
        <v>14539</v>
      </c>
      <c r="E2771" s="40" t="s">
        <v>14805</v>
      </c>
      <c r="F2771" s="31" t="s">
        <v>9743</v>
      </c>
      <c r="G2771" s="34" t="s">
        <v>9762</v>
      </c>
      <c r="I2771" s="35" t="s">
        <v>14775</v>
      </c>
      <c r="J2771" s="36" t="s">
        <v>2577</v>
      </c>
    </row>
    <row r="2772" spans="1:10" x14ac:dyDescent="0.25">
      <c r="A2772" s="31" t="s">
        <v>2578</v>
      </c>
      <c r="B2772" s="31">
        <v>61.189900000000002</v>
      </c>
      <c r="C2772" s="32" t="s">
        <v>14806</v>
      </c>
      <c r="D2772" s="31" t="s">
        <v>14539</v>
      </c>
      <c r="E2772" s="40" t="s">
        <v>14807</v>
      </c>
      <c r="F2772" s="31" t="s">
        <v>9743</v>
      </c>
      <c r="G2772" s="34" t="s">
        <v>9762</v>
      </c>
      <c r="I2772" s="35" t="s">
        <v>14775</v>
      </c>
      <c r="J2772" s="36" t="s">
        <v>2578</v>
      </c>
    </row>
    <row r="2773" spans="1:10" x14ac:dyDescent="0.25">
      <c r="A2773" s="31" t="s">
        <v>2579</v>
      </c>
      <c r="B2773" s="31">
        <v>61.19</v>
      </c>
      <c r="C2773" s="32" t="s">
        <v>14808</v>
      </c>
      <c r="D2773" s="31" t="s">
        <v>14539</v>
      </c>
      <c r="E2773" s="40" t="s">
        <v>9763</v>
      </c>
      <c r="F2773" s="31" t="s">
        <v>9743</v>
      </c>
      <c r="G2773" s="34" t="s">
        <v>9763</v>
      </c>
      <c r="H2773" s="34" t="s">
        <v>9763</v>
      </c>
      <c r="I2773" s="35" t="s">
        <v>14808</v>
      </c>
      <c r="J2773" s="36" t="s">
        <v>2579</v>
      </c>
    </row>
    <row r="2774" spans="1:10" x14ac:dyDescent="0.25">
      <c r="A2774" s="31" t="s">
        <v>2240</v>
      </c>
      <c r="B2774" s="31">
        <v>61.190100000000001</v>
      </c>
      <c r="C2774" s="32" t="s">
        <v>14809</v>
      </c>
      <c r="D2774" s="31" t="s">
        <v>14539</v>
      </c>
      <c r="E2774" s="40" t="s">
        <v>14810</v>
      </c>
      <c r="F2774" s="31" t="s">
        <v>9743</v>
      </c>
      <c r="G2774" s="34" t="s">
        <v>9763</v>
      </c>
      <c r="I2774" s="35" t="s">
        <v>14808</v>
      </c>
      <c r="J2774" s="36" t="s">
        <v>2240</v>
      </c>
    </row>
    <row r="2775" spans="1:10" x14ac:dyDescent="0.25">
      <c r="A2775" s="31" t="s">
        <v>2580</v>
      </c>
      <c r="B2775" s="31">
        <v>61.190199999999997</v>
      </c>
      <c r="C2775" s="32" t="s">
        <v>14811</v>
      </c>
      <c r="D2775" s="31" t="s">
        <v>14539</v>
      </c>
      <c r="E2775" s="40" t="s">
        <v>14812</v>
      </c>
      <c r="F2775" s="31" t="s">
        <v>9743</v>
      </c>
      <c r="G2775" s="34" t="s">
        <v>9763</v>
      </c>
      <c r="I2775" s="35" t="s">
        <v>14808</v>
      </c>
      <c r="J2775" s="36" t="s">
        <v>2580</v>
      </c>
    </row>
    <row r="2776" spans="1:10" x14ac:dyDescent="0.25">
      <c r="A2776" s="31" t="s">
        <v>2581</v>
      </c>
      <c r="B2776" s="31">
        <v>61.190300000000001</v>
      </c>
      <c r="C2776" s="32" t="s">
        <v>14813</v>
      </c>
      <c r="D2776" s="31" t="s">
        <v>14539</v>
      </c>
      <c r="E2776" s="40" t="s">
        <v>14814</v>
      </c>
      <c r="F2776" s="31" t="s">
        <v>9743</v>
      </c>
      <c r="G2776" s="34" t="s">
        <v>9763</v>
      </c>
      <c r="I2776" s="35" t="s">
        <v>14808</v>
      </c>
      <c r="J2776" s="36" t="s">
        <v>2581</v>
      </c>
    </row>
    <row r="2777" spans="1:10" x14ac:dyDescent="0.25">
      <c r="A2777" s="31" t="s">
        <v>2582</v>
      </c>
      <c r="B2777" s="31">
        <v>61.190399999999997</v>
      </c>
      <c r="C2777" s="32" t="s">
        <v>14815</v>
      </c>
      <c r="D2777" s="31" t="s">
        <v>14539</v>
      </c>
      <c r="E2777" s="40" t="s">
        <v>14816</v>
      </c>
      <c r="F2777" s="31" t="s">
        <v>9743</v>
      </c>
      <c r="G2777" s="34" t="s">
        <v>9763</v>
      </c>
      <c r="I2777" s="35" t="s">
        <v>14808</v>
      </c>
      <c r="J2777" s="36" t="s">
        <v>2582</v>
      </c>
    </row>
    <row r="2778" spans="1:10" x14ac:dyDescent="0.25">
      <c r="A2778" s="31" t="s">
        <v>2583</v>
      </c>
      <c r="B2778" s="31">
        <v>61.1905</v>
      </c>
      <c r="C2778" s="32" t="s">
        <v>14817</v>
      </c>
      <c r="D2778" s="31" t="s">
        <v>14539</v>
      </c>
      <c r="E2778" s="40" t="s">
        <v>14818</v>
      </c>
      <c r="F2778" s="31" t="s">
        <v>9743</v>
      </c>
      <c r="G2778" s="34" t="s">
        <v>9763</v>
      </c>
      <c r="I2778" s="35" t="s">
        <v>14808</v>
      </c>
      <c r="J2778" s="36" t="s">
        <v>2583</v>
      </c>
    </row>
    <row r="2779" spans="1:10" x14ac:dyDescent="0.25">
      <c r="A2779" s="31" t="s">
        <v>2584</v>
      </c>
      <c r="B2779" s="31">
        <v>61.190600000000003</v>
      </c>
      <c r="C2779" s="32" t="s">
        <v>14819</v>
      </c>
      <c r="D2779" s="31" t="s">
        <v>14539</v>
      </c>
      <c r="E2779" s="40" t="s">
        <v>14820</v>
      </c>
      <c r="F2779" s="31" t="s">
        <v>9743</v>
      </c>
      <c r="G2779" s="34" t="s">
        <v>9763</v>
      </c>
      <c r="I2779" s="35" t="s">
        <v>14808</v>
      </c>
      <c r="J2779" s="36" t="s">
        <v>2584</v>
      </c>
    </row>
    <row r="2780" spans="1:10" x14ac:dyDescent="0.25">
      <c r="A2780" s="31" t="s">
        <v>2585</v>
      </c>
      <c r="B2780" s="31">
        <v>61.1907</v>
      </c>
      <c r="C2780" s="32" t="s">
        <v>14821</v>
      </c>
      <c r="D2780" s="31" t="s">
        <v>14539</v>
      </c>
      <c r="E2780" s="40" t="s">
        <v>14822</v>
      </c>
      <c r="F2780" s="31" t="s">
        <v>9743</v>
      </c>
      <c r="G2780" s="34" t="s">
        <v>9763</v>
      </c>
      <c r="I2780" s="35" t="s">
        <v>14808</v>
      </c>
      <c r="J2780" s="36" t="s">
        <v>2585</v>
      </c>
    </row>
    <row r="2781" spans="1:10" x14ac:dyDescent="0.25">
      <c r="A2781" s="31" t="s">
        <v>2586</v>
      </c>
      <c r="B2781" s="31">
        <v>61.190800000000003</v>
      </c>
      <c r="C2781" s="32" t="s">
        <v>14823</v>
      </c>
      <c r="D2781" s="31" t="s">
        <v>14539</v>
      </c>
      <c r="E2781" s="40" t="s">
        <v>14824</v>
      </c>
      <c r="F2781" s="31" t="s">
        <v>9743</v>
      </c>
      <c r="G2781" s="34" t="s">
        <v>9763</v>
      </c>
      <c r="I2781" s="35" t="s">
        <v>14808</v>
      </c>
      <c r="J2781" s="36" t="s">
        <v>2586</v>
      </c>
    </row>
    <row r="2782" spans="1:10" x14ac:dyDescent="0.25">
      <c r="A2782" s="31" t="s">
        <v>2587</v>
      </c>
      <c r="B2782" s="31">
        <v>61.190899999999999</v>
      </c>
      <c r="C2782" s="32" t="s">
        <v>14825</v>
      </c>
      <c r="D2782" s="31" t="s">
        <v>14539</v>
      </c>
      <c r="E2782" s="40" t="s">
        <v>14826</v>
      </c>
      <c r="F2782" s="31" t="s">
        <v>9743</v>
      </c>
      <c r="G2782" s="34" t="s">
        <v>9763</v>
      </c>
      <c r="I2782" s="35" t="s">
        <v>14808</v>
      </c>
      <c r="J2782" s="36" t="s">
        <v>2587</v>
      </c>
    </row>
    <row r="2783" spans="1:10" x14ac:dyDescent="0.25">
      <c r="A2783" s="31" t="s">
        <v>2588</v>
      </c>
      <c r="B2783" s="31">
        <v>61.191000000000003</v>
      </c>
      <c r="C2783" s="32" t="s">
        <v>14827</v>
      </c>
      <c r="D2783" s="31" t="s">
        <v>14539</v>
      </c>
      <c r="E2783" s="40" t="s">
        <v>14828</v>
      </c>
      <c r="F2783" s="31" t="s">
        <v>9743</v>
      </c>
      <c r="G2783" s="34" t="s">
        <v>9763</v>
      </c>
      <c r="I2783" s="35" t="s">
        <v>14808</v>
      </c>
      <c r="J2783" s="36" t="s">
        <v>2588</v>
      </c>
    </row>
    <row r="2784" spans="1:10" x14ac:dyDescent="0.25">
      <c r="A2784" s="31" t="s">
        <v>2589</v>
      </c>
      <c r="B2784" s="31">
        <v>61.191099999999999</v>
      </c>
      <c r="C2784" s="32" t="s">
        <v>14829</v>
      </c>
      <c r="D2784" s="31" t="s">
        <v>14539</v>
      </c>
      <c r="E2784" s="40" t="s">
        <v>14830</v>
      </c>
      <c r="F2784" s="31" t="s">
        <v>9743</v>
      </c>
      <c r="G2784" s="34" t="s">
        <v>9763</v>
      </c>
      <c r="I2784" s="35" t="s">
        <v>14808</v>
      </c>
      <c r="J2784" s="36" t="s">
        <v>2589</v>
      </c>
    </row>
    <row r="2785" spans="1:10" x14ac:dyDescent="0.25">
      <c r="A2785" s="31" t="s">
        <v>2590</v>
      </c>
      <c r="B2785" s="31">
        <v>61.191200000000002</v>
      </c>
      <c r="C2785" s="32" t="s">
        <v>14831</v>
      </c>
      <c r="D2785" s="31" t="s">
        <v>14539</v>
      </c>
      <c r="E2785" s="40" t="s">
        <v>14832</v>
      </c>
      <c r="F2785" s="31" t="s">
        <v>9743</v>
      </c>
      <c r="G2785" s="34" t="s">
        <v>9763</v>
      </c>
      <c r="I2785" s="35" t="s">
        <v>14808</v>
      </c>
      <c r="J2785" s="36" t="s">
        <v>2590</v>
      </c>
    </row>
    <row r="2786" spans="1:10" x14ac:dyDescent="0.25">
      <c r="A2786" s="31" t="s">
        <v>2591</v>
      </c>
      <c r="B2786" s="31">
        <v>61.191299999999998</v>
      </c>
      <c r="C2786" s="32" t="s">
        <v>14833</v>
      </c>
      <c r="D2786" s="31" t="s">
        <v>14539</v>
      </c>
      <c r="E2786" s="40" t="s">
        <v>14834</v>
      </c>
      <c r="F2786" s="31" t="s">
        <v>9743</v>
      </c>
      <c r="G2786" s="34" t="s">
        <v>9763</v>
      </c>
      <c r="I2786" s="35" t="s">
        <v>14808</v>
      </c>
      <c r="J2786" s="36" t="s">
        <v>2591</v>
      </c>
    </row>
    <row r="2787" spans="1:10" x14ac:dyDescent="0.25">
      <c r="A2787" s="31" t="s">
        <v>2592</v>
      </c>
      <c r="B2787" s="31">
        <v>61.191400000000002</v>
      </c>
      <c r="C2787" s="32" t="s">
        <v>14835</v>
      </c>
      <c r="D2787" s="31" t="s">
        <v>14539</v>
      </c>
      <c r="E2787" s="40" t="s">
        <v>14836</v>
      </c>
      <c r="F2787" s="31" t="s">
        <v>9743</v>
      </c>
      <c r="G2787" s="34" t="s">
        <v>9763</v>
      </c>
      <c r="I2787" s="35" t="s">
        <v>14808</v>
      </c>
      <c r="J2787" s="36" t="s">
        <v>2592</v>
      </c>
    </row>
    <row r="2788" spans="1:10" x14ac:dyDescent="0.25">
      <c r="A2788" s="31" t="s">
        <v>2593</v>
      </c>
      <c r="B2788" s="31">
        <v>61.191499999999998</v>
      </c>
      <c r="C2788" s="32" t="s">
        <v>14837</v>
      </c>
      <c r="D2788" s="31" t="s">
        <v>14539</v>
      </c>
      <c r="E2788" s="40" t="s">
        <v>14838</v>
      </c>
      <c r="F2788" s="31" t="s">
        <v>9743</v>
      </c>
      <c r="G2788" s="34" t="s">
        <v>9763</v>
      </c>
      <c r="I2788" s="35" t="s">
        <v>14808</v>
      </c>
      <c r="J2788" s="36" t="s">
        <v>2593</v>
      </c>
    </row>
    <row r="2789" spans="1:10" x14ac:dyDescent="0.25">
      <c r="A2789" s="31" t="s">
        <v>2594</v>
      </c>
      <c r="B2789" s="31">
        <v>61.191699999999997</v>
      </c>
      <c r="C2789" s="32" t="s">
        <v>14839</v>
      </c>
      <c r="D2789" s="31" t="s">
        <v>14539</v>
      </c>
      <c r="E2789" s="40" t="s">
        <v>14840</v>
      </c>
      <c r="F2789" s="31" t="s">
        <v>9743</v>
      </c>
      <c r="G2789" s="34" t="s">
        <v>9763</v>
      </c>
      <c r="I2789" s="35" t="s">
        <v>14808</v>
      </c>
      <c r="J2789" s="36" t="s">
        <v>2594</v>
      </c>
    </row>
    <row r="2790" spans="1:10" x14ac:dyDescent="0.25">
      <c r="A2790" s="31" t="s">
        <v>2595</v>
      </c>
      <c r="B2790" s="31">
        <v>61.1999</v>
      </c>
      <c r="C2790" s="32" t="s">
        <v>14841</v>
      </c>
      <c r="D2790" s="31" t="s">
        <v>14539</v>
      </c>
      <c r="E2790" s="40" t="s">
        <v>14842</v>
      </c>
      <c r="F2790" s="31" t="s">
        <v>9743</v>
      </c>
      <c r="G2790" s="34" t="s">
        <v>9763</v>
      </c>
      <c r="I2790" s="35" t="s">
        <v>14808</v>
      </c>
      <c r="J2790" s="36" t="s">
        <v>2595</v>
      </c>
    </row>
    <row r="2791" spans="1:10" x14ac:dyDescent="0.25">
      <c r="A2791" s="31" t="s">
        <v>2596</v>
      </c>
      <c r="B2791" s="31">
        <v>61.2</v>
      </c>
      <c r="C2791" s="32" t="s">
        <v>14843</v>
      </c>
      <c r="D2791" s="31" t="s">
        <v>14539</v>
      </c>
      <c r="E2791" s="40" t="s">
        <v>9764</v>
      </c>
      <c r="F2791" s="31" t="s">
        <v>9743</v>
      </c>
      <c r="G2791" s="34" t="s">
        <v>9764</v>
      </c>
      <c r="H2791" s="34" t="s">
        <v>9764</v>
      </c>
      <c r="I2791" s="35" t="s">
        <v>14843</v>
      </c>
      <c r="J2791" s="36" t="s">
        <v>2596</v>
      </c>
    </row>
    <row r="2792" spans="1:10" x14ac:dyDescent="0.25">
      <c r="A2792" s="31" t="s">
        <v>2241</v>
      </c>
      <c r="B2792" s="31">
        <v>61.200099999999999</v>
      </c>
      <c r="C2792" s="32" t="s">
        <v>14844</v>
      </c>
      <c r="D2792" s="31" t="s">
        <v>14539</v>
      </c>
      <c r="E2792" s="40" t="s">
        <v>14845</v>
      </c>
      <c r="F2792" s="31" t="s">
        <v>9743</v>
      </c>
      <c r="G2792" s="34" t="s">
        <v>9764</v>
      </c>
      <c r="I2792" s="35" t="s">
        <v>14843</v>
      </c>
      <c r="J2792" s="36" t="s">
        <v>2241</v>
      </c>
    </row>
    <row r="2793" spans="1:10" x14ac:dyDescent="0.25">
      <c r="A2793" s="31" t="s">
        <v>2597</v>
      </c>
      <c r="B2793" s="31">
        <v>61.200200000000002</v>
      </c>
      <c r="C2793" s="32" t="s">
        <v>14846</v>
      </c>
      <c r="D2793" s="31" t="s">
        <v>14539</v>
      </c>
      <c r="E2793" s="40" t="s">
        <v>14847</v>
      </c>
      <c r="F2793" s="31" t="s">
        <v>9743</v>
      </c>
      <c r="G2793" s="34" t="s">
        <v>9764</v>
      </c>
      <c r="I2793" s="35" t="s">
        <v>14843</v>
      </c>
      <c r="J2793" s="36" t="s">
        <v>2597</v>
      </c>
    </row>
    <row r="2794" spans="1:10" x14ac:dyDescent="0.25">
      <c r="A2794" s="31" t="s">
        <v>2598</v>
      </c>
      <c r="B2794" s="31">
        <v>61.200299999999999</v>
      </c>
      <c r="C2794" s="32" t="s">
        <v>14848</v>
      </c>
      <c r="D2794" s="31" t="s">
        <v>14539</v>
      </c>
      <c r="E2794" s="40" t="s">
        <v>14849</v>
      </c>
      <c r="F2794" s="31" t="s">
        <v>9743</v>
      </c>
      <c r="G2794" s="34" t="s">
        <v>9764</v>
      </c>
      <c r="I2794" s="35" t="s">
        <v>14843</v>
      </c>
      <c r="J2794" s="36" t="s">
        <v>2598</v>
      </c>
    </row>
    <row r="2795" spans="1:10" x14ac:dyDescent="0.25">
      <c r="A2795" s="31" t="s">
        <v>2599</v>
      </c>
      <c r="B2795" s="31">
        <v>61.209899999999998</v>
      </c>
      <c r="C2795" s="32" t="s">
        <v>14850</v>
      </c>
      <c r="D2795" s="31" t="s">
        <v>14539</v>
      </c>
      <c r="E2795" s="40" t="s">
        <v>14851</v>
      </c>
      <c r="F2795" s="31" t="s">
        <v>9743</v>
      </c>
      <c r="G2795" s="34" t="s">
        <v>9764</v>
      </c>
      <c r="I2795" s="35" t="s">
        <v>14843</v>
      </c>
      <c r="J2795" s="36" t="s">
        <v>2599</v>
      </c>
    </row>
    <row r="2796" spans="1:10" x14ac:dyDescent="0.25">
      <c r="A2796" s="31" t="s">
        <v>2600</v>
      </c>
      <c r="B2796" s="31">
        <v>61.21</v>
      </c>
      <c r="C2796" s="32" t="s">
        <v>14852</v>
      </c>
      <c r="D2796" s="31" t="s">
        <v>14539</v>
      </c>
      <c r="E2796" s="40" t="s">
        <v>9765</v>
      </c>
      <c r="F2796" s="31" t="s">
        <v>9743</v>
      </c>
      <c r="G2796" s="34" t="s">
        <v>9765</v>
      </c>
      <c r="H2796" s="34" t="s">
        <v>9765</v>
      </c>
      <c r="I2796" s="35" t="s">
        <v>14852</v>
      </c>
      <c r="J2796" s="36" t="s">
        <v>2600</v>
      </c>
    </row>
    <row r="2797" spans="1:10" x14ac:dyDescent="0.25">
      <c r="A2797" s="31" t="s">
        <v>2242</v>
      </c>
      <c r="B2797" s="31">
        <v>61.210099999999997</v>
      </c>
      <c r="C2797" s="32" t="s">
        <v>14853</v>
      </c>
      <c r="D2797" s="31" t="s">
        <v>14539</v>
      </c>
      <c r="E2797" s="40" t="s">
        <v>14854</v>
      </c>
      <c r="F2797" s="31" t="s">
        <v>9743</v>
      </c>
      <c r="G2797" s="34" t="s">
        <v>9765</v>
      </c>
      <c r="I2797" s="35" t="s">
        <v>14852</v>
      </c>
      <c r="J2797" s="36" t="s">
        <v>2242</v>
      </c>
    </row>
    <row r="2798" spans="1:10" x14ac:dyDescent="0.25">
      <c r="A2798" s="31" t="s">
        <v>2601</v>
      </c>
      <c r="B2798" s="31">
        <v>61.2102</v>
      </c>
      <c r="C2798" s="32" t="s">
        <v>14855</v>
      </c>
      <c r="D2798" s="31" t="s">
        <v>14539</v>
      </c>
      <c r="E2798" s="40" t="s">
        <v>14856</v>
      </c>
      <c r="F2798" s="31" t="s">
        <v>9743</v>
      </c>
      <c r="G2798" s="34" t="s">
        <v>9765</v>
      </c>
      <c r="I2798" s="35" t="s">
        <v>14852</v>
      </c>
      <c r="J2798" s="36" t="s">
        <v>2601</v>
      </c>
    </row>
    <row r="2799" spans="1:10" x14ac:dyDescent="0.25">
      <c r="A2799" s="31" t="s">
        <v>2602</v>
      </c>
      <c r="B2799" s="31">
        <v>61.210299999999997</v>
      </c>
      <c r="C2799" s="32" t="s">
        <v>14857</v>
      </c>
      <c r="D2799" s="31" t="s">
        <v>14539</v>
      </c>
      <c r="E2799" s="40" t="s">
        <v>14858</v>
      </c>
      <c r="F2799" s="31" t="s">
        <v>9743</v>
      </c>
      <c r="G2799" s="34" t="s">
        <v>9765</v>
      </c>
      <c r="I2799" s="35" t="s">
        <v>14852</v>
      </c>
      <c r="J2799" s="36" t="s">
        <v>2602</v>
      </c>
    </row>
    <row r="2800" spans="1:10" x14ac:dyDescent="0.25">
      <c r="A2800" s="31" t="s">
        <v>2603</v>
      </c>
      <c r="B2800" s="31">
        <v>61.219900000000003</v>
      </c>
      <c r="C2800" s="32" t="s">
        <v>14859</v>
      </c>
      <c r="D2800" s="31" t="s">
        <v>14539</v>
      </c>
      <c r="E2800" s="40" t="s">
        <v>14860</v>
      </c>
      <c r="F2800" s="31" t="s">
        <v>9743</v>
      </c>
      <c r="G2800" s="34" t="s">
        <v>9765</v>
      </c>
      <c r="I2800" s="35" t="s">
        <v>14852</v>
      </c>
      <c r="J2800" s="36" t="s">
        <v>2603</v>
      </c>
    </row>
    <row r="2801" spans="1:10" x14ac:dyDescent="0.25">
      <c r="A2801" s="31" t="s">
        <v>2604</v>
      </c>
      <c r="B2801" s="31">
        <v>61.22</v>
      </c>
      <c r="C2801" s="32" t="s">
        <v>14861</v>
      </c>
      <c r="D2801" s="31" t="s">
        <v>14539</v>
      </c>
      <c r="E2801" s="40" t="s">
        <v>9766</v>
      </c>
      <c r="F2801" s="31" t="s">
        <v>9743</v>
      </c>
      <c r="G2801" s="34" t="s">
        <v>9766</v>
      </c>
      <c r="H2801" s="34" t="s">
        <v>9766</v>
      </c>
      <c r="I2801" s="35" t="s">
        <v>14861</v>
      </c>
      <c r="J2801" s="36" t="s">
        <v>2604</v>
      </c>
    </row>
    <row r="2802" spans="1:10" x14ac:dyDescent="0.25">
      <c r="A2802" s="31" t="s">
        <v>2605</v>
      </c>
      <c r="B2802" s="31">
        <v>61.220100000000002</v>
      </c>
      <c r="C2802" s="32" t="s">
        <v>14862</v>
      </c>
      <c r="D2802" s="31" t="s">
        <v>14539</v>
      </c>
      <c r="E2802" s="40" t="s">
        <v>14863</v>
      </c>
      <c r="F2802" s="31" t="s">
        <v>9743</v>
      </c>
      <c r="G2802" s="34" t="s">
        <v>9766</v>
      </c>
      <c r="I2802" s="35" t="s">
        <v>14861</v>
      </c>
      <c r="J2802" s="36" t="s">
        <v>2605</v>
      </c>
    </row>
    <row r="2803" spans="1:10" x14ac:dyDescent="0.25">
      <c r="A2803" s="31" t="s">
        <v>2606</v>
      </c>
      <c r="B2803" s="31">
        <v>61.229900000000001</v>
      </c>
      <c r="C2803" s="32" t="s">
        <v>14864</v>
      </c>
      <c r="D2803" s="31" t="s">
        <v>14539</v>
      </c>
      <c r="E2803" s="40" t="s">
        <v>14865</v>
      </c>
      <c r="F2803" s="31" t="s">
        <v>9743</v>
      </c>
      <c r="G2803" s="34" t="s">
        <v>9766</v>
      </c>
      <c r="I2803" s="35" t="s">
        <v>14861</v>
      </c>
      <c r="J2803" s="36" t="s">
        <v>2606</v>
      </c>
    </row>
    <row r="2804" spans="1:10" x14ac:dyDescent="0.25">
      <c r="A2804" s="31" t="s">
        <v>2607</v>
      </c>
      <c r="B2804" s="31">
        <v>61.23</v>
      </c>
      <c r="C2804" s="32" t="s">
        <v>14866</v>
      </c>
      <c r="D2804" s="31" t="s">
        <v>14539</v>
      </c>
      <c r="E2804" s="40" t="s">
        <v>9767</v>
      </c>
      <c r="F2804" s="31" t="s">
        <v>9743</v>
      </c>
      <c r="G2804" s="34" t="s">
        <v>9767</v>
      </c>
      <c r="H2804" s="34" t="s">
        <v>9767</v>
      </c>
      <c r="I2804" s="35" t="s">
        <v>14866</v>
      </c>
      <c r="J2804" s="36" t="s">
        <v>2607</v>
      </c>
    </row>
    <row r="2805" spans="1:10" x14ac:dyDescent="0.25">
      <c r="A2805" s="31" t="s">
        <v>2244</v>
      </c>
      <c r="B2805" s="31">
        <v>61.2301</v>
      </c>
      <c r="C2805" s="32" t="s">
        <v>14867</v>
      </c>
      <c r="D2805" s="31" t="s">
        <v>14539</v>
      </c>
      <c r="E2805" s="40" t="s">
        <v>14868</v>
      </c>
      <c r="F2805" s="31" t="s">
        <v>9743</v>
      </c>
      <c r="G2805" s="34" t="s">
        <v>9767</v>
      </c>
      <c r="I2805" s="35" t="s">
        <v>14866</v>
      </c>
      <c r="J2805" s="36" t="s">
        <v>2244</v>
      </c>
    </row>
    <row r="2806" spans="1:10" x14ac:dyDescent="0.25">
      <c r="A2806" s="31" t="s">
        <v>2216</v>
      </c>
      <c r="B2806" s="31">
        <v>61.230200000000004</v>
      </c>
      <c r="C2806" s="32" t="s">
        <v>14869</v>
      </c>
      <c r="D2806" s="31" t="s">
        <v>14539</v>
      </c>
      <c r="E2806" s="40" t="s">
        <v>14870</v>
      </c>
      <c r="F2806" s="31" t="s">
        <v>9743</v>
      </c>
      <c r="G2806" s="34" t="s">
        <v>9767</v>
      </c>
      <c r="I2806" s="35" t="s">
        <v>14866</v>
      </c>
      <c r="J2806" s="36" t="s">
        <v>2216</v>
      </c>
    </row>
    <row r="2807" spans="1:10" x14ac:dyDescent="0.25">
      <c r="A2807" s="31" t="s">
        <v>2235</v>
      </c>
      <c r="B2807" s="31">
        <v>61.2303</v>
      </c>
      <c r="C2807" s="32" t="s">
        <v>14871</v>
      </c>
      <c r="D2807" s="31" t="s">
        <v>14539</v>
      </c>
      <c r="E2807" s="40" t="s">
        <v>14872</v>
      </c>
      <c r="F2807" s="31" t="s">
        <v>9743</v>
      </c>
      <c r="G2807" s="34" t="s">
        <v>9767</v>
      </c>
      <c r="I2807" s="35" t="s">
        <v>14866</v>
      </c>
      <c r="J2807" s="36" t="s">
        <v>2235</v>
      </c>
    </row>
    <row r="2808" spans="1:10" x14ac:dyDescent="0.25">
      <c r="A2808" s="31" t="s">
        <v>2608</v>
      </c>
      <c r="B2808" s="31">
        <v>61.239899999999999</v>
      </c>
      <c r="C2808" s="32" t="s">
        <v>14873</v>
      </c>
      <c r="D2808" s="31" t="s">
        <v>14539</v>
      </c>
      <c r="E2808" s="40" t="s">
        <v>14874</v>
      </c>
      <c r="F2808" s="31" t="s">
        <v>9743</v>
      </c>
      <c r="G2808" s="34" t="s">
        <v>9767</v>
      </c>
      <c r="I2808" s="35" t="s">
        <v>14866</v>
      </c>
      <c r="J2808" s="36" t="s">
        <v>2608</v>
      </c>
    </row>
    <row r="2809" spans="1:10" x14ac:dyDescent="0.25">
      <c r="A2809" s="31" t="s">
        <v>2609</v>
      </c>
      <c r="B2809" s="31">
        <v>61.24</v>
      </c>
      <c r="C2809" s="32" t="s">
        <v>14875</v>
      </c>
      <c r="D2809" s="31" t="s">
        <v>14539</v>
      </c>
      <c r="E2809" s="40" t="s">
        <v>9768</v>
      </c>
      <c r="F2809" s="31" t="s">
        <v>9743</v>
      </c>
      <c r="G2809" s="34" t="s">
        <v>9768</v>
      </c>
      <c r="H2809" s="34" t="s">
        <v>9768</v>
      </c>
      <c r="I2809" s="35" t="s">
        <v>14875</v>
      </c>
      <c r="J2809" s="36" t="s">
        <v>2609</v>
      </c>
    </row>
    <row r="2810" spans="1:10" x14ac:dyDescent="0.25">
      <c r="A2810" s="31" t="s">
        <v>2243</v>
      </c>
      <c r="B2810" s="31">
        <v>61.240099999999998</v>
      </c>
      <c r="C2810" s="32" t="s">
        <v>14876</v>
      </c>
      <c r="D2810" s="31" t="s">
        <v>14539</v>
      </c>
      <c r="E2810" s="40" t="s">
        <v>14877</v>
      </c>
      <c r="F2810" s="31" t="s">
        <v>9743</v>
      </c>
      <c r="G2810" s="34" t="s">
        <v>9768</v>
      </c>
      <c r="I2810" s="35" t="s">
        <v>14875</v>
      </c>
      <c r="J2810" s="36" t="s">
        <v>2243</v>
      </c>
    </row>
    <row r="2811" spans="1:10" x14ac:dyDescent="0.25">
      <c r="A2811" s="31" t="s">
        <v>2610</v>
      </c>
      <c r="B2811" s="31">
        <v>61.240200000000002</v>
      </c>
      <c r="C2811" s="32" t="s">
        <v>14878</v>
      </c>
      <c r="D2811" s="31" t="s">
        <v>14539</v>
      </c>
      <c r="E2811" s="40" t="s">
        <v>14879</v>
      </c>
      <c r="F2811" s="31" t="s">
        <v>9743</v>
      </c>
      <c r="G2811" s="34" t="s">
        <v>9768</v>
      </c>
      <c r="I2811" s="35" t="s">
        <v>14875</v>
      </c>
      <c r="J2811" s="36" t="s">
        <v>2610</v>
      </c>
    </row>
    <row r="2812" spans="1:10" x14ac:dyDescent="0.25">
      <c r="A2812" s="31" t="s">
        <v>2611</v>
      </c>
      <c r="B2812" s="31">
        <v>61.240299999999998</v>
      </c>
      <c r="C2812" s="32" t="s">
        <v>14880</v>
      </c>
      <c r="D2812" s="31" t="s">
        <v>14539</v>
      </c>
      <c r="E2812" s="40" t="s">
        <v>14881</v>
      </c>
      <c r="F2812" s="31" t="s">
        <v>9743</v>
      </c>
      <c r="G2812" s="34" t="s">
        <v>9768</v>
      </c>
      <c r="I2812" s="35" t="s">
        <v>14875</v>
      </c>
      <c r="J2812" s="36" t="s">
        <v>2611</v>
      </c>
    </row>
    <row r="2813" spans="1:10" x14ac:dyDescent="0.25">
      <c r="A2813" s="31" t="s">
        <v>2612</v>
      </c>
      <c r="B2813" s="31">
        <v>61.240400000000001</v>
      </c>
      <c r="C2813" s="32" t="s">
        <v>14882</v>
      </c>
      <c r="D2813" s="31" t="s">
        <v>14539</v>
      </c>
      <c r="E2813" s="40" t="s">
        <v>14883</v>
      </c>
      <c r="F2813" s="31" t="s">
        <v>9743</v>
      </c>
      <c r="G2813" s="34" t="s">
        <v>9768</v>
      </c>
      <c r="I2813" s="35" t="s">
        <v>14875</v>
      </c>
      <c r="J2813" s="36" t="s">
        <v>2612</v>
      </c>
    </row>
    <row r="2814" spans="1:10" x14ac:dyDescent="0.25">
      <c r="A2814" s="31" t="s">
        <v>2613</v>
      </c>
      <c r="B2814" s="31">
        <v>61.240499999999997</v>
      </c>
      <c r="C2814" s="32" t="s">
        <v>14884</v>
      </c>
      <c r="D2814" s="31" t="s">
        <v>14539</v>
      </c>
      <c r="E2814" s="40" t="s">
        <v>14885</v>
      </c>
      <c r="F2814" s="31" t="s">
        <v>9743</v>
      </c>
      <c r="G2814" s="34" t="s">
        <v>9768</v>
      </c>
      <c r="I2814" s="35" t="s">
        <v>14875</v>
      </c>
      <c r="J2814" s="36" t="s">
        <v>2613</v>
      </c>
    </row>
    <row r="2815" spans="1:10" x14ac:dyDescent="0.25">
      <c r="A2815" s="31" t="s">
        <v>2614</v>
      </c>
      <c r="B2815" s="31">
        <v>61.240600000000001</v>
      </c>
      <c r="C2815" s="32" t="s">
        <v>14886</v>
      </c>
      <c r="D2815" s="31" t="s">
        <v>14539</v>
      </c>
      <c r="E2815" s="40" t="s">
        <v>14887</v>
      </c>
      <c r="F2815" s="31" t="s">
        <v>9743</v>
      </c>
      <c r="G2815" s="34" t="s">
        <v>9768</v>
      </c>
      <c r="I2815" s="35" t="s">
        <v>14875</v>
      </c>
      <c r="J2815" s="36" t="s">
        <v>2614</v>
      </c>
    </row>
    <row r="2816" spans="1:10" x14ac:dyDescent="0.25">
      <c r="A2816" s="31" t="s">
        <v>2615</v>
      </c>
      <c r="B2816" s="31">
        <v>61.249899999999997</v>
      </c>
      <c r="C2816" s="32" t="s">
        <v>14888</v>
      </c>
      <c r="D2816" s="31" t="s">
        <v>14539</v>
      </c>
      <c r="E2816" s="40" t="s">
        <v>14889</v>
      </c>
      <c r="F2816" s="31" t="s">
        <v>9743</v>
      </c>
      <c r="G2816" s="34" t="s">
        <v>9768</v>
      </c>
      <c r="I2816" s="35" t="s">
        <v>14875</v>
      </c>
      <c r="J2816" s="36" t="s">
        <v>2615</v>
      </c>
    </row>
    <row r="2817" spans="1:10" x14ac:dyDescent="0.25">
      <c r="A2817" s="31" t="s">
        <v>2616</v>
      </c>
      <c r="B2817" s="31">
        <v>61.25</v>
      </c>
      <c r="C2817" s="32" t="s">
        <v>14890</v>
      </c>
      <c r="D2817" s="31" t="s">
        <v>14539</v>
      </c>
      <c r="E2817" s="40" t="s">
        <v>9769</v>
      </c>
      <c r="F2817" s="31" t="s">
        <v>9743</v>
      </c>
      <c r="G2817" s="34" t="s">
        <v>9769</v>
      </c>
      <c r="H2817" s="34" t="s">
        <v>9769</v>
      </c>
      <c r="I2817" s="35" t="s">
        <v>14890</v>
      </c>
      <c r="J2817" s="36" t="s">
        <v>2616</v>
      </c>
    </row>
    <row r="2818" spans="1:10" x14ac:dyDescent="0.25">
      <c r="A2818" s="31" t="s">
        <v>2245</v>
      </c>
      <c r="B2818" s="31">
        <v>61.250100000000003</v>
      </c>
      <c r="C2818" s="32" t="s">
        <v>14891</v>
      </c>
      <c r="D2818" s="31" t="s">
        <v>14539</v>
      </c>
      <c r="E2818" s="40" t="s">
        <v>14892</v>
      </c>
      <c r="F2818" s="31" t="s">
        <v>9743</v>
      </c>
      <c r="G2818" s="34" t="s">
        <v>9769</v>
      </c>
      <c r="I2818" s="35" t="s">
        <v>14890</v>
      </c>
      <c r="J2818" s="36" t="s">
        <v>2245</v>
      </c>
    </row>
    <row r="2819" spans="1:10" x14ac:dyDescent="0.25">
      <c r="A2819" s="31" t="s">
        <v>2617</v>
      </c>
      <c r="B2819" s="31">
        <v>61.259900000000002</v>
      </c>
      <c r="C2819" s="32" t="s">
        <v>14893</v>
      </c>
      <c r="D2819" s="31" t="s">
        <v>14539</v>
      </c>
      <c r="E2819" s="40" t="s">
        <v>14894</v>
      </c>
      <c r="F2819" s="31" t="s">
        <v>9743</v>
      </c>
      <c r="G2819" s="34" t="s">
        <v>9769</v>
      </c>
      <c r="I2819" s="35" t="s">
        <v>14890</v>
      </c>
      <c r="J2819" s="36" t="s">
        <v>2617</v>
      </c>
    </row>
    <row r="2820" spans="1:10" x14ac:dyDescent="0.25">
      <c r="A2820" s="31" t="s">
        <v>2618</v>
      </c>
      <c r="B2820" s="31">
        <v>61.26</v>
      </c>
      <c r="C2820" s="32" t="s">
        <v>14895</v>
      </c>
      <c r="D2820" s="31" t="s">
        <v>14539</v>
      </c>
      <c r="E2820" s="40" t="s">
        <v>9770</v>
      </c>
      <c r="F2820" s="31" t="s">
        <v>9743</v>
      </c>
      <c r="G2820" s="34" t="s">
        <v>9770</v>
      </c>
      <c r="H2820" s="34" t="s">
        <v>9770</v>
      </c>
      <c r="I2820" s="35" t="s">
        <v>14895</v>
      </c>
      <c r="J2820" s="36" t="s">
        <v>2618</v>
      </c>
    </row>
    <row r="2821" spans="1:10" x14ac:dyDescent="0.25">
      <c r="A2821" s="31" t="s">
        <v>2226</v>
      </c>
      <c r="B2821" s="31">
        <v>61.260100000000001</v>
      </c>
      <c r="C2821" s="32" t="s">
        <v>14896</v>
      </c>
      <c r="D2821" s="31" t="s">
        <v>14539</v>
      </c>
      <c r="E2821" s="40" t="s">
        <v>14897</v>
      </c>
      <c r="F2821" s="31" t="s">
        <v>9743</v>
      </c>
      <c r="G2821" s="34" t="s">
        <v>9770</v>
      </c>
      <c r="I2821" s="35" t="s">
        <v>14895</v>
      </c>
      <c r="J2821" s="36" t="s">
        <v>2226</v>
      </c>
    </row>
    <row r="2822" spans="1:10" x14ac:dyDescent="0.25">
      <c r="A2822" s="31" t="s">
        <v>2619</v>
      </c>
      <c r="B2822" s="31">
        <v>61.260199999999998</v>
      </c>
      <c r="C2822" s="32" t="s">
        <v>14898</v>
      </c>
      <c r="D2822" s="31" t="s">
        <v>14539</v>
      </c>
      <c r="E2822" s="40" t="s">
        <v>14899</v>
      </c>
      <c r="F2822" s="31" t="s">
        <v>9743</v>
      </c>
      <c r="G2822" s="34" t="s">
        <v>9770</v>
      </c>
      <c r="I2822" s="35" t="s">
        <v>14895</v>
      </c>
      <c r="J2822" s="36" t="s">
        <v>2619</v>
      </c>
    </row>
    <row r="2823" spans="1:10" x14ac:dyDescent="0.25">
      <c r="A2823" s="31" t="s">
        <v>2620</v>
      </c>
      <c r="B2823" s="31">
        <v>61.260300000000001</v>
      </c>
      <c r="C2823" s="32" t="s">
        <v>14900</v>
      </c>
      <c r="D2823" s="31" t="s">
        <v>14539</v>
      </c>
      <c r="E2823" s="40" t="s">
        <v>14901</v>
      </c>
      <c r="F2823" s="31" t="s">
        <v>9743</v>
      </c>
      <c r="G2823" s="34" t="s">
        <v>9770</v>
      </c>
      <c r="I2823" s="35" t="s">
        <v>14895</v>
      </c>
      <c r="J2823" s="36" t="s">
        <v>2620</v>
      </c>
    </row>
    <row r="2824" spans="1:10" x14ac:dyDescent="0.25">
      <c r="A2824" s="31" t="s">
        <v>2266</v>
      </c>
      <c r="B2824" s="31">
        <v>61.260399999999997</v>
      </c>
      <c r="C2824" s="32" t="s">
        <v>14902</v>
      </c>
      <c r="D2824" s="31" t="s">
        <v>14539</v>
      </c>
      <c r="E2824" s="40" t="s">
        <v>14903</v>
      </c>
      <c r="F2824" s="31" t="s">
        <v>9743</v>
      </c>
      <c r="G2824" s="34" t="s">
        <v>9770</v>
      </c>
      <c r="I2824" s="35" t="s">
        <v>14895</v>
      </c>
      <c r="J2824" s="36" t="s">
        <v>2266</v>
      </c>
    </row>
    <row r="2825" spans="1:10" x14ac:dyDescent="0.25">
      <c r="A2825" s="31" t="s">
        <v>2284</v>
      </c>
      <c r="B2825" s="31">
        <v>61.2605</v>
      </c>
      <c r="C2825" s="32" t="s">
        <v>14904</v>
      </c>
      <c r="D2825" s="31" t="s">
        <v>14539</v>
      </c>
      <c r="E2825" s="40" t="s">
        <v>14905</v>
      </c>
      <c r="F2825" s="31" t="s">
        <v>9743</v>
      </c>
      <c r="G2825" s="34" t="s">
        <v>9770</v>
      </c>
      <c r="I2825" s="35" t="s">
        <v>14895</v>
      </c>
      <c r="J2825" s="36" t="s">
        <v>2284</v>
      </c>
    </row>
    <row r="2826" spans="1:10" x14ac:dyDescent="0.25">
      <c r="A2826" s="31" t="s">
        <v>2621</v>
      </c>
      <c r="B2826" s="31">
        <v>61.260599999999997</v>
      </c>
      <c r="C2826" s="32" t="s">
        <v>14906</v>
      </c>
      <c r="D2826" s="31" t="s">
        <v>14539</v>
      </c>
      <c r="E2826" s="40" t="s">
        <v>14907</v>
      </c>
      <c r="F2826" s="31" t="s">
        <v>9743</v>
      </c>
      <c r="G2826" s="34" t="s">
        <v>9770</v>
      </c>
      <c r="I2826" s="35" t="s">
        <v>14895</v>
      </c>
      <c r="J2826" s="36" t="s">
        <v>2621</v>
      </c>
    </row>
    <row r="2827" spans="1:10" x14ac:dyDescent="0.25">
      <c r="A2827" s="31" t="s">
        <v>2622</v>
      </c>
      <c r="B2827" s="31">
        <v>61.2607</v>
      </c>
      <c r="C2827" s="32" t="s">
        <v>14908</v>
      </c>
      <c r="D2827" s="31" t="s">
        <v>14539</v>
      </c>
      <c r="E2827" s="40" t="s">
        <v>14909</v>
      </c>
      <c r="F2827" s="31" t="s">
        <v>9743</v>
      </c>
      <c r="G2827" s="34" t="s">
        <v>9770</v>
      </c>
      <c r="I2827" s="35" t="s">
        <v>14895</v>
      </c>
      <c r="J2827" s="36" t="s">
        <v>2622</v>
      </c>
    </row>
    <row r="2828" spans="1:10" x14ac:dyDescent="0.25">
      <c r="A2828" s="31" t="s">
        <v>2623</v>
      </c>
      <c r="B2828" s="31">
        <v>61.260800000000003</v>
      </c>
      <c r="C2828" s="32" t="s">
        <v>14910</v>
      </c>
      <c r="D2828" s="31" t="s">
        <v>14539</v>
      </c>
      <c r="E2828" s="40" t="s">
        <v>14911</v>
      </c>
      <c r="F2828" s="31" t="s">
        <v>9743</v>
      </c>
      <c r="G2828" s="34" t="s">
        <v>9770</v>
      </c>
      <c r="I2828" s="35" t="s">
        <v>14895</v>
      </c>
      <c r="J2828" s="36" t="s">
        <v>2623</v>
      </c>
    </row>
    <row r="2829" spans="1:10" x14ac:dyDescent="0.25">
      <c r="A2829" s="31" t="s">
        <v>2624</v>
      </c>
      <c r="B2829" s="31">
        <v>61.260899999999999</v>
      </c>
      <c r="C2829" s="32" t="s">
        <v>14912</v>
      </c>
      <c r="D2829" s="31" t="s">
        <v>14539</v>
      </c>
      <c r="E2829" s="40" t="s">
        <v>14913</v>
      </c>
      <c r="F2829" s="31" t="s">
        <v>9743</v>
      </c>
      <c r="G2829" s="34" t="s">
        <v>9770</v>
      </c>
      <c r="I2829" s="35" t="s">
        <v>14895</v>
      </c>
      <c r="J2829" s="36" t="s">
        <v>2624</v>
      </c>
    </row>
    <row r="2830" spans="1:10" x14ac:dyDescent="0.25">
      <c r="A2830" s="31" t="s">
        <v>2246</v>
      </c>
      <c r="B2830" s="31">
        <v>61.261000000000003</v>
      </c>
      <c r="C2830" s="32" t="s">
        <v>14914</v>
      </c>
      <c r="D2830" s="31" t="s">
        <v>14539</v>
      </c>
      <c r="E2830" s="40" t="s">
        <v>14915</v>
      </c>
      <c r="F2830" s="31" t="s">
        <v>9743</v>
      </c>
      <c r="G2830" s="34" t="s">
        <v>9770</v>
      </c>
      <c r="I2830" s="35" t="s">
        <v>14895</v>
      </c>
      <c r="J2830" s="36" t="s">
        <v>2246</v>
      </c>
    </row>
    <row r="2831" spans="1:10" x14ac:dyDescent="0.25">
      <c r="A2831" s="31" t="s">
        <v>2331</v>
      </c>
      <c r="B2831" s="31">
        <v>61.261099999999999</v>
      </c>
      <c r="C2831" s="32" t="s">
        <v>14916</v>
      </c>
      <c r="D2831" s="31" t="s">
        <v>14539</v>
      </c>
      <c r="E2831" s="40" t="s">
        <v>14917</v>
      </c>
      <c r="F2831" s="31" t="s">
        <v>9743</v>
      </c>
      <c r="G2831" s="34" t="s">
        <v>9770</v>
      </c>
      <c r="I2831" s="35" t="s">
        <v>14895</v>
      </c>
      <c r="J2831" s="36" t="s">
        <v>2331</v>
      </c>
    </row>
    <row r="2832" spans="1:10" x14ac:dyDescent="0.25">
      <c r="A2832" s="31" t="s">
        <v>2625</v>
      </c>
      <c r="B2832" s="31">
        <v>61.261200000000002</v>
      </c>
      <c r="C2832" s="32" t="s">
        <v>14918</v>
      </c>
      <c r="D2832" s="31" t="s">
        <v>14539</v>
      </c>
      <c r="E2832" s="40" t="s">
        <v>14919</v>
      </c>
      <c r="F2832" s="31" t="s">
        <v>9743</v>
      </c>
      <c r="G2832" s="34" t="s">
        <v>9770</v>
      </c>
      <c r="I2832" s="35" t="s">
        <v>14895</v>
      </c>
      <c r="J2832" s="36" t="s">
        <v>2625</v>
      </c>
    </row>
    <row r="2833" spans="1:10" x14ac:dyDescent="0.25">
      <c r="A2833" s="31" t="s">
        <v>2626</v>
      </c>
      <c r="B2833" s="31">
        <v>61.2699</v>
      </c>
      <c r="C2833" s="32" t="s">
        <v>14920</v>
      </c>
      <c r="D2833" s="31" t="s">
        <v>14539</v>
      </c>
      <c r="E2833" s="40" t="s">
        <v>14921</v>
      </c>
      <c r="F2833" s="31" t="s">
        <v>9743</v>
      </c>
      <c r="G2833" s="34" t="s">
        <v>9770</v>
      </c>
      <c r="I2833" s="35" t="s">
        <v>14895</v>
      </c>
      <c r="J2833" s="36" t="s">
        <v>2626</v>
      </c>
    </row>
    <row r="2834" spans="1:10" x14ac:dyDescent="0.25">
      <c r="A2834" s="31" t="s">
        <v>2627</v>
      </c>
      <c r="B2834" s="31">
        <v>61.27</v>
      </c>
      <c r="C2834" s="32" t="s">
        <v>14922</v>
      </c>
      <c r="D2834" s="31" t="s">
        <v>14539</v>
      </c>
      <c r="E2834" s="40" t="s">
        <v>9771</v>
      </c>
      <c r="F2834" s="31" t="s">
        <v>9743</v>
      </c>
      <c r="G2834" s="34" t="s">
        <v>9771</v>
      </c>
      <c r="H2834" s="34" t="s">
        <v>9771</v>
      </c>
      <c r="I2834" s="35" t="s">
        <v>14922</v>
      </c>
      <c r="J2834" s="36" t="s">
        <v>2627</v>
      </c>
    </row>
    <row r="2835" spans="1:10" x14ac:dyDescent="0.25">
      <c r="A2835" s="31" t="s">
        <v>2229</v>
      </c>
      <c r="B2835" s="31">
        <v>61.270099999999999</v>
      </c>
      <c r="C2835" s="32" t="s">
        <v>14923</v>
      </c>
      <c r="D2835" s="31" t="s">
        <v>14539</v>
      </c>
      <c r="E2835" s="40" t="s">
        <v>14924</v>
      </c>
      <c r="F2835" s="31" t="s">
        <v>9743</v>
      </c>
      <c r="G2835" s="34" t="s">
        <v>9771</v>
      </c>
      <c r="I2835" s="35" t="s">
        <v>14922</v>
      </c>
      <c r="J2835" s="36" t="s">
        <v>2229</v>
      </c>
    </row>
    <row r="2836" spans="1:10" x14ac:dyDescent="0.25">
      <c r="A2836" s="31" t="s">
        <v>2224</v>
      </c>
      <c r="B2836" s="31">
        <v>61.270200000000003</v>
      </c>
      <c r="C2836" s="32" t="s">
        <v>14925</v>
      </c>
      <c r="D2836" s="31" t="s">
        <v>14539</v>
      </c>
      <c r="E2836" s="40" t="s">
        <v>14926</v>
      </c>
      <c r="F2836" s="31" t="s">
        <v>9743</v>
      </c>
      <c r="G2836" s="34" t="s">
        <v>9771</v>
      </c>
      <c r="I2836" s="35" t="s">
        <v>14922</v>
      </c>
      <c r="J2836" s="36" t="s">
        <v>2224</v>
      </c>
    </row>
    <row r="2837" spans="1:10" x14ac:dyDescent="0.25">
      <c r="A2837" s="31" t="s">
        <v>2628</v>
      </c>
      <c r="B2837" s="31">
        <v>61.270299999999999</v>
      </c>
      <c r="C2837" s="32" t="s">
        <v>14927</v>
      </c>
      <c r="D2837" s="31" t="s">
        <v>14539</v>
      </c>
      <c r="E2837" s="40" t="s">
        <v>14928</v>
      </c>
      <c r="F2837" s="31" t="s">
        <v>9743</v>
      </c>
      <c r="G2837" s="34" t="s">
        <v>9771</v>
      </c>
      <c r="I2837" s="35" t="s">
        <v>14922</v>
      </c>
      <c r="J2837" s="36" t="s">
        <v>2628</v>
      </c>
    </row>
    <row r="2838" spans="1:10" x14ac:dyDescent="0.25">
      <c r="A2838" s="31" t="s">
        <v>2629</v>
      </c>
      <c r="B2838" s="31">
        <v>61.270400000000002</v>
      </c>
      <c r="C2838" s="32" t="s">
        <v>14929</v>
      </c>
      <c r="D2838" s="31" t="s">
        <v>14539</v>
      </c>
      <c r="E2838" s="40" t="s">
        <v>14930</v>
      </c>
      <c r="F2838" s="31" t="s">
        <v>9743</v>
      </c>
      <c r="G2838" s="34" t="s">
        <v>9771</v>
      </c>
      <c r="I2838" s="35" t="s">
        <v>14922</v>
      </c>
      <c r="J2838" s="36" t="s">
        <v>2629</v>
      </c>
    </row>
    <row r="2839" spans="1:10" x14ac:dyDescent="0.25">
      <c r="A2839" s="31" t="s">
        <v>2630</v>
      </c>
      <c r="B2839" s="31">
        <v>61.270499999999998</v>
      </c>
      <c r="C2839" s="32" t="s">
        <v>14931</v>
      </c>
      <c r="D2839" s="31" t="s">
        <v>14539</v>
      </c>
      <c r="E2839" s="40" t="s">
        <v>14932</v>
      </c>
      <c r="F2839" s="31" t="s">
        <v>9743</v>
      </c>
      <c r="G2839" s="34" t="s">
        <v>9771</v>
      </c>
      <c r="I2839" s="35" t="s">
        <v>14922</v>
      </c>
      <c r="J2839" s="36" t="s">
        <v>2630</v>
      </c>
    </row>
    <row r="2840" spans="1:10" x14ac:dyDescent="0.25">
      <c r="A2840" s="31" t="s">
        <v>2631</v>
      </c>
      <c r="B2840" s="31">
        <v>61.270600000000002</v>
      </c>
      <c r="C2840" s="32" t="s">
        <v>14933</v>
      </c>
      <c r="D2840" s="31" t="s">
        <v>14539</v>
      </c>
      <c r="E2840" s="40" t="s">
        <v>14934</v>
      </c>
      <c r="F2840" s="31" t="s">
        <v>9743</v>
      </c>
      <c r="G2840" s="34" t="s">
        <v>9771</v>
      </c>
      <c r="I2840" s="35" t="s">
        <v>14922</v>
      </c>
      <c r="J2840" s="36" t="s">
        <v>2631</v>
      </c>
    </row>
    <row r="2841" spans="1:10" x14ac:dyDescent="0.25">
      <c r="A2841" s="31" t="s">
        <v>2632</v>
      </c>
      <c r="B2841" s="31">
        <v>61.270699999999998</v>
      </c>
      <c r="C2841" s="32" t="s">
        <v>14935</v>
      </c>
      <c r="D2841" s="31" t="s">
        <v>14539</v>
      </c>
      <c r="E2841" s="40" t="s">
        <v>14936</v>
      </c>
      <c r="F2841" s="31" t="s">
        <v>9743</v>
      </c>
      <c r="G2841" s="34" t="s">
        <v>9771</v>
      </c>
      <c r="I2841" s="35" t="s">
        <v>14922</v>
      </c>
      <c r="J2841" s="36" t="s">
        <v>2632</v>
      </c>
    </row>
    <row r="2842" spans="1:10" x14ac:dyDescent="0.25">
      <c r="A2842" s="31" t="s">
        <v>2633</v>
      </c>
      <c r="B2842" s="31">
        <v>61.270800000000001</v>
      </c>
      <c r="C2842" s="32" t="s">
        <v>14937</v>
      </c>
      <c r="D2842" s="31" t="s">
        <v>14539</v>
      </c>
      <c r="E2842" s="40" t="s">
        <v>14938</v>
      </c>
      <c r="F2842" s="31" t="s">
        <v>9743</v>
      </c>
      <c r="G2842" s="34" t="s">
        <v>9771</v>
      </c>
      <c r="I2842" s="35" t="s">
        <v>14922</v>
      </c>
      <c r="J2842" s="36" t="s">
        <v>2633</v>
      </c>
    </row>
    <row r="2843" spans="1:10" x14ac:dyDescent="0.25">
      <c r="A2843" s="31" t="s">
        <v>2634</v>
      </c>
      <c r="B2843" s="31">
        <v>61.279899999999998</v>
      </c>
      <c r="C2843" s="32" t="s">
        <v>14939</v>
      </c>
      <c r="D2843" s="31" t="s">
        <v>14539</v>
      </c>
      <c r="E2843" s="40" t="s">
        <v>14940</v>
      </c>
      <c r="F2843" s="31" t="s">
        <v>9743</v>
      </c>
      <c r="G2843" s="34" t="s">
        <v>9771</v>
      </c>
      <c r="I2843" s="35" t="s">
        <v>14922</v>
      </c>
      <c r="J2843" s="36" t="s">
        <v>2634</v>
      </c>
    </row>
    <row r="2844" spans="1:10" x14ac:dyDescent="0.25">
      <c r="A2844" s="31" t="s">
        <v>2635</v>
      </c>
      <c r="B2844" s="31">
        <v>61.28</v>
      </c>
      <c r="C2844" s="32" t="s">
        <v>14941</v>
      </c>
      <c r="D2844" s="31" t="s">
        <v>14539</v>
      </c>
      <c r="E2844" s="40" t="s">
        <v>9772</v>
      </c>
      <c r="F2844" s="31" t="s">
        <v>9743</v>
      </c>
      <c r="G2844" s="34" t="s">
        <v>9772</v>
      </c>
      <c r="H2844" s="34" t="s">
        <v>9772</v>
      </c>
      <c r="I2844" s="35" t="s">
        <v>14941</v>
      </c>
      <c r="J2844" s="36" t="s">
        <v>2635</v>
      </c>
    </row>
    <row r="2845" spans="1:10" x14ac:dyDescent="0.25">
      <c r="A2845" s="31" t="s">
        <v>2248</v>
      </c>
      <c r="B2845" s="31">
        <v>61.280099999999997</v>
      </c>
      <c r="C2845" s="32" t="s">
        <v>14942</v>
      </c>
      <c r="D2845" s="31" t="s">
        <v>14539</v>
      </c>
      <c r="E2845" s="40" t="s">
        <v>14943</v>
      </c>
      <c r="F2845" s="31" t="s">
        <v>9743</v>
      </c>
      <c r="G2845" s="34" t="s">
        <v>9772</v>
      </c>
      <c r="I2845" s="35" t="s">
        <v>14941</v>
      </c>
      <c r="J2845" s="36" t="s">
        <v>2248</v>
      </c>
    </row>
    <row r="2846" spans="1:10" x14ac:dyDescent="0.25">
      <c r="A2846" s="31" t="s">
        <v>2636</v>
      </c>
      <c r="B2846" s="31">
        <v>61.280200000000001</v>
      </c>
      <c r="C2846" s="32" t="s">
        <v>14944</v>
      </c>
      <c r="D2846" s="31" t="s">
        <v>14539</v>
      </c>
      <c r="E2846" s="40" t="s">
        <v>14945</v>
      </c>
      <c r="F2846" s="31" t="s">
        <v>9743</v>
      </c>
      <c r="G2846" s="34" t="s">
        <v>9772</v>
      </c>
      <c r="I2846" s="35" t="s">
        <v>14941</v>
      </c>
      <c r="J2846" s="36" t="s">
        <v>2636</v>
      </c>
    </row>
    <row r="2847" spans="1:10" x14ac:dyDescent="0.25">
      <c r="A2847" s="31" t="s">
        <v>2637</v>
      </c>
      <c r="B2847" s="31">
        <v>61.289900000000003</v>
      </c>
      <c r="C2847" s="32" t="s">
        <v>14946</v>
      </c>
      <c r="D2847" s="31" t="s">
        <v>14539</v>
      </c>
      <c r="E2847" s="40" t="s">
        <v>14947</v>
      </c>
      <c r="F2847" s="31" t="s">
        <v>9743</v>
      </c>
      <c r="G2847" s="34" t="s">
        <v>9772</v>
      </c>
      <c r="I2847" s="35" t="s">
        <v>14941</v>
      </c>
      <c r="J2847" s="36" t="s">
        <v>2637</v>
      </c>
    </row>
    <row r="2848" spans="1:10" x14ac:dyDescent="0.25">
      <c r="A2848" s="31" t="s">
        <v>2638</v>
      </c>
      <c r="B2848" s="31">
        <v>61.99</v>
      </c>
      <c r="C2848" s="32" t="s">
        <v>14948</v>
      </c>
      <c r="D2848" s="31" t="s">
        <v>14539</v>
      </c>
      <c r="E2848" s="40" t="s">
        <v>9773</v>
      </c>
      <c r="F2848" s="31" t="s">
        <v>9743</v>
      </c>
      <c r="G2848" s="34" t="s">
        <v>9773</v>
      </c>
      <c r="H2848" s="34" t="s">
        <v>9773</v>
      </c>
      <c r="I2848" s="35" t="s">
        <v>14948</v>
      </c>
      <c r="J2848" s="36" t="s">
        <v>2638</v>
      </c>
    </row>
    <row r="2849" spans="1:10" x14ac:dyDescent="0.25">
      <c r="A2849" s="31" t="s">
        <v>2638</v>
      </c>
      <c r="B2849" s="31">
        <v>61.999899999999997</v>
      </c>
      <c r="C2849" s="32" t="s">
        <v>14949</v>
      </c>
      <c r="D2849" s="31" t="s">
        <v>14539</v>
      </c>
      <c r="E2849" s="40" t="s">
        <v>14950</v>
      </c>
      <c r="F2849" s="31" t="s">
        <v>9743</v>
      </c>
      <c r="G2849" s="34" t="s">
        <v>9773</v>
      </c>
      <c r="I2849" s="35" t="s">
        <v>14948</v>
      </c>
      <c r="J2849" s="36" t="s">
        <v>2638</v>
      </c>
    </row>
  </sheetData>
  <conditionalFormatting sqref="I1430:I1435 I1367:I1369 I1264:I1266">
    <cfRule type="duplicateValues" dxfId="3" priority="1"/>
  </conditionalFormatting>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844D5-B0A9-48E2-B931-4A7DE8E3ED8C}">
  <dimension ref="A1:A6273"/>
  <sheetViews>
    <sheetView workbookViewId="0">
      <selection sqref="A1:A1048576"/>
    </sheetView>
  </sheetViews>
  <sheetFormatPr defaultRowHeight="15.75" x14ac:dyDescent="0.25"/>
  <cols>
    <col min="1" max="1" width="74.5" bestFit="1" customWidth="1"/>
  </cols>
  <sheetData>
    <row r="1" spans="1:1" x14ac:dyDescent="0.25">
      <c r="A1" s="19" t="s">
        <v>2661</v>
      </c>
    </row>
    <row r="2" spans="1:1" x14ac:dyDescent="0.25">
      <c r="A2" s="19" t="s">
        <v>2662</v>
      </c>
    </row>
    <row r="3" spans="1:1" x14ac:dyDescent="0.25">
      <c r="A3" s="19" t="s">
        <v>2663</v>
      </c>
    </row>
    <row r="4" spans="1:1" x14ac:dyDescent="0.25">
      <c r="A4" s="19" t="s">
        <v>2664</v>
      </c>
    </row>
    <row r="5" spans="1:1" x14ac:dyDescent="0.25">
      <c r="A5" s="19" t="s">
        <v>2665</v>
      </c>
    </row>
    <row r="6" spans="1:1" x14ac:dyDescent="0.25">
      <c r="A6" s="19" t="s">
        <v>2666</v>
      </c>
    </row>
    <row r="7" spans="1:1" x14ac:dyDescent="0.25">
      <c r="A7" s="19" t="s">
        <v>2667</v>
      </c>
    </row>
    <row r="8" spans="1:1" x14ac:dyDescent="0.25">
      <c r="A8" s="19" t="s">
        <v>2668</v>
      </c>
    </row>
    <row r="9" spans="1:1" x14ac:dyDescent="0.25">
      <c r="A9" s="19" t="s">
        <v>2669</v>
      </c>
    </row>
    <row r="10" spans="1:1" x14ac:dyDescent="0.25">
      <c r="A10" s="19" t="s">
        <v>2670</v>
      </c>
    </row>
    <row r="11" spans="1:1" x14ac:dyDescent="0.25">
      <c r="A11" s="19" t="s">
        <v>2671</v>
      </c>
    </row>
    <row r="12" spans="1:1" x14ac:dyDescent="0.25">
      <c r="A12" s="19" t="s">
        <v>2672</v>
      </c>
    </row>
    <row r="13" spans="1:1" x14ac:dyDescent="0.25">
      <c r="A13" s="19" t="s">
        <v>2673</v>
      </c>
    </row>
    <row r="14" spans="1:1" x14ac:dyDescent="0.25">
      <c r="A14" s="19" t="s">
        <v>2674</v>
      </c>
    </row>
    <row r="15" spans="1:1" x14ac:dyDescent="0.25">
      <c r="A15" s="19" t="s">
        <v>2675</v>
      </c>
    </row>
    <row r="16" spans="1:1" x14ac:dyDescent="0.25">
      <c r="A16" s="19" t="s">
        <v>2676</v>
      </c>
    </row>
    <row r="17" spans="1:1" x14ac:dyDescent="0.25">
      <c r="A17" s="19" t="s">
        <v>2677</v>
      </c>
    </row>
    <row r="18" spans="1:1" x14ac:dyDescent="0.25">
      <c r="A18" s="19" t="s">
        <v>2678</v>
      </c>
    </row>
    <row r="19" spans="1:1" x14ac:dyDescent="0.25">
      <c r="A19" s="19" t="s">
        <v>2679</v>
      </c>
    </row>
    <row r="20" spans="1:1" x14ac:dyDescent="0.25">
      <c r="A20" s="19" t="s">
        <v>2680</v>
      </c>
    </row>
    <row r="21" spans="1:1" x14ac:dyDescent="0.25">
      <c r="A21" s="19" t="s">
        <v>2681</v>
      </c>
    </row>
    <row r="22" spans="1:1" x14ac:dyDescent="0.25">
      <c r="A22" s="19" t="s">
        <v>2682</v>
      </c>
    </row>
    <row r="23" spans="1:1" x14ac:dyDescent="0.25">
      <c r="A23" s="19" t="s">
        <v>2683</v>
      </c>
    </row>
    <row r="24" spans="1:1" x14ac:dyDescent="0.25">
      <c r="A24" s="19" t="s">
        <v>2683</v>
      </c>
    </row>
    <row r="25" spans="1:1" x14ac:dyDescent="0.25">
      <c r="A25" s="19" t="s">
        <v>2683</v>
      </c>
    </row>
    <row r="26" spans="1:1" x14ac:dyDescent="0.25">
      <c r="A26" s="19" t="s">
        <v>2684</v>
      </c>
    </row>
    <row r="27" spans="1:1" x14ac:dyDescent="0.25">
      <c r="A27" s="19" t="s">
        <v>2685</v>
      </c>
    </row>
    <row r="28" spans="1:1" x14ac:dyDescent="0.25">
      <c r="A28" s="19" t="s">
        <v>2686</v>
      </c>
    </row>
    <row r="29" spans="1:1" x14ac:dyDescent="0.25">
      <c r="A29" s="19" t="s">
        <v>2687</v>
      </c>
    </row>
    <row r="30" spans="1:1" x14ac:dyDescent="0.25">
      <c r="A30" s="19" t="s">
        <v>2688</v>
      </c>
    </row>
    <row r="31" spans="1:1" x14ac:dyDescent="0.25">
      <c r="A31" s="19" t="s">
        <v>2689</v>
      </c>
    </row>
    <row r="32" spans="1:1" x14ac:dyDescent="0.25">
      <c r="A32" s="19" t="s">
        <v>2690</v>
      </c>
    </row>
    <row r="33" spans="1:1" x14ac:dyDescent="0.25">
      <c r="A33" s="19" t="s">
        <v>2691</v>
      </c>
    </row>
    <row r="34" spans="1:1" x14ac:dyDescent="0.25">
      <c r="A34" s="19" t="s">
        <v>2692</v>
      </c>
    </row>
    <row r="35" spans="1:1" x14ac:dyDescent="0.25">
      <c r="A35" s="19" t="s">
        <v>2693</v>
      </c>
    </row>
    <row r="36" spans="1:1" x14ac:dyDescent="0.25">
      <c r="A36" s="19" t="s">
        <v>2694</v>
      </c>
    </row>
    <row r="37" spans="1:1" x14ac:dyDescent="0.25">
      <c r="A37" s="19" t="s">
        <v>2695</v>
      </c>
    </row>
    <row r="38" spans="1:1" x14ac:dyDescent="0.25">
      <c r="A38" s="19" t="s">
        <v>2696</v>
      </c>
    </row>
    <row r="39" spans="1:1" x14ac:dyDescent="0.25">
      <c r="A39" s="19" t="s">
        <v>2697</v>
      </c>
    </row>
    <row r="40" spans="1:1" x14ac:dyDescent="0.25">
      <c r="A40" s="19" t="s">
        <v>2698</v>
      </c>
    </row>
    <row r="41" spans="1:1" x14ac:dyDescent="0.25">
      <c r="A41" s="19" t="s">
        <v>2699</v>
      </c>
    </row>
    <row r="42" spans="1:1" x14ac:dyDescent="0.25">
      <c r="A42" s="19" t="s">
        <v>2700</v>
      </c>
    </row>
    <row r="43" spans="1:1" x14ac:dyDescent="0.25">
      <c r="A43" s="19" t="s">
        <v>2700</v>
      </c>
    </row>
    <row r="44" spans="1:1" x14ac:dyDescent="0.25">
      <c r="A44" s="19" t="s">
        <v>2701</v>
      </c>
    </row>
    <row r="45" spans="1:1" x14ac:dyDescent="0.25">
      <c r="A45" s="19" t="s">
        <v>2702</v>
      </c>
    </row>
    <row r="46" spans="1:1" x14ac:dyDescent="0.25">
      <c r="A46" s="19" t="s">
        <v>2703</v>
      </c>
    </row>
    <row r="47" spans="1:1" x14ac:dyDescent="0.25">
      <c r="A47" s="19" t="s">
        <v>2704</v>
      </c>
    </row>
    <row r="48" spans="1:1" x14ac:dyDescent="0.25">
      <c r="A48" s="19" t="s">
        <v>2705</v>
      </c>
    </row>
    <row r="49" spans="1:1" x14ac:dyDescent="0.25">
      <c r="A49" s="19" t="s">
        <v>2706</v>
      </c>
    </row>
    <row r="50" spans="1:1" x14ac:dyDescent="0.25">
      <c r="A50" s="19" t="s">
        <v>2707</v>
      </c>
    </row>
    <row r="51" spans="1:1" x14ac:dyDescent="0.25">
      <c r="A51" s="19" t="s">
        <v>2708</v>
      </c>
    </row>
    <row r="52" spans="1:1" x14ac:dyDescent="0.25">
      <c r="A52" s="19" t="s">
        <v>2709</v>
      </c>
    </row>
    <row r="53" spans="1:1" x14ac:dyDescent="0.25">
      <c r="A53" s="19" t="s">
        <v>2710</v>
      </c>
    </row>
    <row r="54" spans="1:1" x14ac:dyDescent="0.25">
      <c r="A54" s="19" t="s">
        <v>2711</v>
      </c>
    </row>
    <row r="55" spans="1:1" x14ac:dyDescent="0.25">
      <c r="A55" s="19" t="s">
        <v>2712</v>
      </c>
    </row>
    <row r="56" spans="1:1" x14ac:dyDescent="0.25">
      <c r="A56" s="19" t="s">
        <v>2713</v>
      </c>
    </row>
    <row r="57" spans="1:1" x14ac:dyDescent="0.25">
      <c r="A57" s="19" t="s">
        <v>2714</v>
      </c>
    </row>
    <row r="58" spans="1:1" x14ac:dyDescent="0.25">
      <c r="A58" s="19" t="s">
        <v>2715</v>
      </c>
    </row>
    <row r="59" spans="1:1" x14ac:dyDescent="0.25">
      <c r="A59" s="19" t="s">
        <v>2716</v>
      </c>
    </row>
    <row r="60" spans="1:1" x14ac:dyDescent="0.25">
      <c r="A60" s="19" t="s">
        <v>2717</v>
      </c>
    </row>
    <row r="61" spans="1:1" x14ac:dyDescent="0.25">
      <c r="A61" s="19" t="s">
        <v>2718</v>
      </c>
    </row>
    <row r="62" spans="1:1" x14ac:dyDescent="0.25">
      <c r="A62" s="19" t="s">
        <v>2719</v>
      </c>
    </row>
    <row r="63" spans="1:1" x14ac:dyDescent="0.25">
      <c r="A63" s="19" t="s">
        <v>2720</v>
      </c>
    </row>
    <row r="64" spans="1:1" x14ac:dyDescent="0.25">
      <c r="A64" s="19" t="s">
        <v>2721</v>
      </c>
    </row>
    <row r="65" spans="1:1" x14ac:dyDescent="0.25">
      <c r="A65" s="19" t="s">
        <v>2722</v>
      </c>
    </row>
    <row r="66" spans="1:1" x14ac:dyDescent="0.25">
      <c r="A66" s="19" t="s">
        <v>2723</v>
      </c>
    </row>
    <row r="67" spans="1:1" x14ac:dyDescent="0.25">
      <c r="A67" s="19" t="s">
        <v>2724</v>
      </c>
    </row>
    <row r="68" spans="1:1" x14ac:dyDescent="0.25">
      <c r="A68" s="19" t="s">
        <v>2725</v>
      </c>
    </row>
    <row r="69" spans="1:1" x14ac:dyDescent="0.25">
      <c r="A69" s="19" t="s">
        <v>2726</v>
      </c>
    </row>
    <row r="70" spans="1:1" x14ac:dyDescent="0.25">
      <c r="A70" s="19" t="s">
        <v>2727</v>
      </c>
    </row>
    <row r="71" spans="1:1" x14ac:dyDescent="0.25">
      <c r="A71" s="19" t="s">
        <v>2728</v>
      </c>
    </row>
    <row r="72" spans="1:1" x14ac:dyDescent="0.25">
      <c r="A72" s="19" t="s">
        <v>2729</v>
      </c>
    </row>
    <row r="73" spans="1:1" x14ac:dyDescent="0.25">
      <c r="A73" s="19" t="s">
        <v>2730</v>
      </c>
    </row>
    <row r="74" spans="1:1" x14ac:dyDescent="0.25">
      <c r="A74" s="19" t="s">
        <v>2731</v>
      </c>
    </row>
    <row r="75" spans="1:1" x14ac:dyDescent="0.25">
      <c r="A75" s="19" t="s">
        <v>2732</v>
      </c>
    </row>
    <row r="76" spans="1:1" x14ac:dyDescent="0.25">
      <c r="A76" s="19" t="s">
        <v>2733</v>
      </c>
    </row>
    <row r="77" spans="1:1" x14ac:dyDescent="0.25">
      <c r="A77" s="19" t="s">
        <v>2734</v>
      </c>
    </row>
    <row r="78" spans="1:1" x14ac:dyDescent="0.25">
      <c r="A78" s="19" t="s">
        <v>2735</v>
      </c>
    </row>
    <row r="79" spans="1:1" x14ac:dyDescent="0.25">
      <c r="A79" s="19" t="s">
        <v>2735</v>
      </c>
    </row>
    <row r="80" spans="1:1" x14ac:dyDescent="0.25">
      <c r="A80" s="19" t="s">
        <v>2736</v>
      </c>
    </row>
    <row r="81" spans="1:1" x14ac:dyDescent="0.25">
      <c r="A81" s="19" t="s">
        <v>2737</v>
      </c>
    </row>
    <row r="82" spans="1:1" x14ac:dyDescent="0.25">
      <c r="A82" s="19" t="s">
        <v>2738</v>
      </c>
    </row>
    <row r="83" spans="1:1" x14ac:dyDescent="0.25">
      <c r="A83" s="19" t="s">
        <v>2739</v>
      </c>
    </row>
    <row r="84" spans="1:1" x14ac:dyDescent="0.25">
      <c r="A84" s="19" t="s">
        <v>2740</v>
      </c>
    </row>
    <row r="85" spans="1:1" x14ac:dyDescent="0.25">
      <c r="A85" s="19" t="s">
        <v>2741</v>
      </c>
    </row>
    <row r="86" spans="1:1" x14ac:dyDescent="0.25">
      <c r="A86" s="19" t="s">
        <v>2742</v>
      </c>
    </row>
    <row r="87" spans="1:1" x14ac:dyDescent="0.25">
      <c r="A87" s="19" t="s">
        <v>2743</v>
      </c>
    </row>
    <row r="88" spans="1:1" x14ac:dyDescent="0.25">
      <c r="A88" s="19" t="s">
        <v>2744</v>
      </c>
    </row>
    <row r="89" spans="1:1" x14ac:dyDescent="0.25">
      <c r="A89" s="19" t="s">
        <v>2745</v>
      </c>
    </row>
    <row r="90" spans="1:1" x14ac:dyDescent="0.25">
      <c r="A90" s="19" t="s">
        <v>2746</v>
      </c>
    </row>
    <row r="91" spans="1:1" x14ac:dyDescent="0.25">
      <c r="A91" s="19" t="s">
        <v>2747</v>
      </c>
    </row>
    <row r="92" spans="1:1" x14ac:dyDescent="0.25">
      <c r="A92" s="19" t="s">
        <v>2748</v>
      </c>
    </row>
    <row r="93" spans="1:1" x14ac:dyDescent="0.25">
      <c r="A93" s="19" t="s">
        <v>2749</v>
      </c>
    </row>
    <row r="94" spans="1:1" x14ac:dyDescent="0.25">
      <c r="A94" s="19" t="s">
        <v>2750</v>
      </c>
    </row>
    <row r="95" spans="1:1" x14ac:dyDescent="0.25">
      <c r="A95" s="19" t="s">
        <v>2751</v>
      </c>
    </row>
    <row r="96" spans="1:1" x14ac:dyDescent="0.25">
      <c r="A96" s="19" t="s">
        <v>2752</v>
      </c>
    </row>
    <row r="97" spans="1:1" x14ac:dyDescent="0.25">
      <c r="A97" s="19" t="s">
        <v>2753</v>
      </c>
    </row>
    <row r="98" spans="1:1" x14ac:dyDescent="0.25">
      <c r="A98" s="19" t="s">
        <v>2754</v>
      </c>
    </row>
    <row r="99" spans="1:1" x14ac:dyDescent="0.25">
      <c r="A99" s="19" t="s">
        <v>2755</v>
      </c>
    </row>
    <row r="100" spans="1:1" x14ac:dyDescent="0.25">
      <c r="A100" s="19" t="s">
        <v>2756</v>
      </c>
    </row>
    <row r="101" spans="1:1" x14ac:dyDescent="0.25">
      <c r="A101" s="19" t="s">
        <v>2757</v>
      </c>
    </row>
    <row r="102" spans="1:1" x14ac:dyDescent="0.25">
      <c r="A102" s="19" t="s">
        <v>2758</v>
      </c>
    </row>
    <row r="103" spans="1:1" x14ac:dyDescent="0.25">
      <c r="A103" s="19" t="s">
        <v>2759</v>
      </c>
    </row>
    <row r="104" spans="1:1" x14ac:dyDescent="0.25">
      <c r="A104" s="19" t="s">
        <v>2760</v>
      </c>
    </row>
    <row r="105" spans="1:1" x14ac:dyDescent="0.25">
      <c r="A105" s="19" t="s">
        <v>2761</v>
      </c>
    </row>
    <row r="106" spans="1:1" x14ac:dyDescent="0.25">
      <c r="A106" s="19" t="s">
        <v>2762</v>
      </c>
    </row>
    <row r="107" spans="1:1" x14ac:dyDescent="0.25">
      <c r="A107" s="19" t="s">
        <v>2763</v>
      </c>
    </row>
    <row r="108" spans="1:1" x14ac:dyDescent="0.25">
      <c r="A108" s="19" t="s">
        <v>2764</v>
      </c>
    </row>
    <row r="109" spans="1:1" x14ac:dyDescent="0.25">
      <c r="A109" s="19" t="s">
        <v>2765</v>
      </c>
    </row>
    <row r="110" spans="1:1" x14ac:dyDescent="0.25">
      <c r="A110" s="19" t="s">
        <v>2766</v>
      </c>
    </row>
    <row r="111" spans="1:1" x14ac:dyDescent="0.25">
      <c r="A111" s="19" t="s">
        <v>2767</v>
      </c>
    </row>
    <row r="112" spans="1:1" x14ac:dyDescent="0.25">
      <c r="A112" s="19" t="s">
        <v>2768</v>
      </c>
    </row>
    <row r="113" spans="1:1" x14ac:dyDescent="0.25">
      <c r="A113" s="19" t="s">
        <v>2769</v>
      </c>
    </row>
    <row r="114" spans="1:1" x14ac:dyDescent="0.25">
      <c r="A114" s="19" t="s">
        <v>2770</v>
      </c>
    </row>
    <row r="115" spans="1:1" x14ac:dyDescent="0.25">
      <c r="A115" s="19" t="s">
        <v>2771</v>
      </c>
    </row>
    <row r="116" spans="1:1" x14ac:dyDescent="0.25">
      <c r="A116" s="19" t="s">
        <v>2772</v>
      </c>
    </row>
    <row r="117" spans="1:1" x14ac:dyDescent="0.25">
      <c r="A117" s="19" t="s">
        <v>2773</v>
      </c>
    </row>
    <row r="118" spans="1:1" x14ac:dyDescent="0.25">
      <c r="A118" s="19" t="s">
        <v>2774</v>
      </c>
    </row>
    <row r="119" spans="1:1" x14ac:dyDescent="0.25">
      <c r="A119" s="19" t="s">
        <v>2775</v>
      </c>
    </row>
    <row r="120" spans="1:1" x14ac:dyDescent="0.25">
      <c r="A120" s="19" t="s">
        <v>2776</v>
      </c>
    </row>
    <row r="121" spans="1:1" x14ac:dyDescent="0.25">
      <c r="A121" s="19" t="s">
        <v>2777</v>
      </c>
    </row>
    <row r="122" spans="1:1" x14ac:dyDescent="0.25">
      <c r="A122" s="19" t="s">
        <v>2778</v>
      </c>
    </row>
    <row r="123" spans="1:1" x14ac:dyDescent="0.25">
      <c r="A123" s="19" t="s">
        <v>2779</v>
      </c>
    </row>
    <row r="124" spans="1:1" x14ac:dyDescent="0.25">
      <c r="A124" s="19" t="s">
        <v>2780</v>
      </c>
    </row>
    <row r="125" spans="1:1" x14ac:dyDescent="0.25">
      <c r="A125" s="19" t="s">
        <v>2781</v>
      </c>
    </row>
    <row r="126" spans="1:1" x14ac:dyDescent="0.25">
      <c r="A126" s="19" t="s">
        <v>2782</v>
      </c>
    </row>
    <row r="127" spans="1:1" x14ac:dyDescent="0.25">
      <c r="A127" s="19" t="s">
        <v>2783</v>
      </c>
    </row>
    <row r="128" spans="1:1" x14ac:dyDescent="0.25">
      <c r="A128" s="19" t="s">
        <v>2783</v>
      </c>
    </row>
    <row r="129" spans="1:1" x14ac:dyDescent="0.25">
      <c r="A129" s="19" t="s">
        <v>2783</v>
      </c>
    </row>
    <row r="130" spans="1:1" x14ac:dyDescent="0.25">
      <c r="A130" s="19" t="s">
        <v>2784</v>
      </c>
    </row>
    <row r="131" spans="1:1" x14ac:dyDescent="0.25">
      <c r="A131" s="19" t="s">
        <v>2785</v>
      </c>
    </row>
    <row r="132" spans="1:1" x14ac:dyDescent="0.25">
      <c r="A132" s="19" t="s">
        <v>2786</v>
      </c>
    </row>
    <row r="133" spans="1:1" x14ac:dyDescent="0.25">
      <c r="A133" s="19" t="s">
        <v>2787</v>
      </c>
    </row>
    <row r="134" spans="1:1" x14ac:dyDescent="0.25">
      <c r="A134" s="19" t="s">
        <v>2788</v>
      </c>
    </row>
    <row r="135" spans="1:1" x14ac:dyDescent="0.25">
      <c r="A135" s="19" t="s">
        <v>2789</v>
      </c>
    </row>
    <row r="136" spans="1:1" x14ac:dyDescent="0.25">
      <c r="A136" s="19" t="s">
        <v>2790</v>
      </c>
    </row>
    <row r="137" spans="1:1" x14ac:dyDescent="0.25">
      <c r="A137" s="19" t="s">
        <v>2791</v>
      </c>
    </row>
    <row r="138" spans="1:1" x14ac:dyDescent="0.25">
      <c r="A138" s="19" t="s">
        <v>2792</v>
      </c>
    </row>
    <row r="139" spans="1:1" x14ac:dyDescent="0.25">
      <c r="A139" s="19" t="s">
        <v>2793</v>
      </c>
    </row>
    <row r="140" spans="1:1" x14ac:dyDescent="0.25">
      <c r="A140" s="19" t="s">
        <v>2794</v>
      </c>
    </row>
    <row r="141" spans="1:1" x14ac:dyDescent="0.25">
      <c r="A141" s="19" t="s">
        <v>2795</v>
      </c>
    </row>
    <row r="142" spans="1:1" x14ac:dyDescent="0.25">
      <c r="A142" s="19" t="s">
        <v>2796</v>
      </c>
    </row>
    <row r="143" spans="1:1" x14ac:dyDescent="0.25">
      <c r="A143" s="19" t="s">
        <v>2797</v>
      </c>
    </row>
    <row r="144" spans="1:1" x14ac:dyDescent="0.25">
      <c r="A144" s="19" t="s">
        <v>2798</v>
      </c>
    </row>
    <row r="145" spans="1:1" x14ac:dyDescent="0.25">
      <c r="A145" s="19" t="s">
        <v>2799</v>
      </c>
    </row>
    <row r="146" spans="1:1" x14ac:dyDescent="0.25">
      <c r="A146" s="19" t="s">
        <v>2800</v>
      </c>
    </row>
    <row r="147" spans="1:1" x14ac:dyDescent="0.25">
      <c r="A147" s="19" t="s">
        <v>2801</v>
      </c>
    </row>
    <row r="148" spans="1:1" x14ac:dyDescent="0.25">
      <c r="A148" s="19" t="s">
        <v>2802</v>
      </c>
    </row>
    <row r="149" spans="1:1" x14ac:dyDescent="0.25">
      <c r="A149" s="19" t="s">
        <v>2803</v>
      </c>
    </row>
    <row r="150" spans="1:1" x14ac:dyDescent="0.25">
      <c r="A150" s="19" t="s">
        <v>2804</v>
      </c>
    </row>
    <row r="151" spans="1:1" x14ac:dyDescent="0.25">
      <c r="A151" s="19" t="s">
        <v>2805</v>
      </c>
    </row>
    <row r="152" spans="1:1" x14ac:dyDescent="0.25">
      <c r="A152" s="19" t="s">
        <v>2806</v>
      </c>
    </row>
    <row r="153" spans="1:1" x14ac:dyDescent="0.25">
      <c r="A153" s="19" t="s">
        <v>2807</v>
      </c>
    </row>
    <row r="154" spans="1:1" x14ac:dyDescent="0.25">
      <c r="A154" s="19" t="s">
        <v>2808</v>
      </c>
    </row>
    <row r="155" spans="1:1" x14ac:dyDescent="0.25">
      <c r="A155" s="19" t="s">
        <v>2809</v>
      </c>
    </row>
    <row r="156" spans="1:1" x14ac:dyDescent="0.25">
      <c r="A156" s="19" t="s">
        <v>2810</v>
      </c>
    </row>
    <row r="157" spans="1:1" x14ac:dyDescent="0.25">
      <c r="A157" s="19" t="s">
        <v>2811</v>
      </c>
    </row>
    <row r="158" spans="1:1" x14ac:dyDescent="0.25">
      <c r="A158" s="19" t="s">
        <v>2812</v>
      </c>
    </row>
    <row r="159" spans="1:1" x14ac:dyDescent="0.25">
      <c r="A159" s="19" t="s">
        <v>2813</v>
      </c>
    </row>
    <row r="160" spans="1:1" x14ac:dyDescent="0.25">
      <c r="A160" s="19" t="s">
        <v>2814</v>
      </c>
    </row>
    <row r="161" spans="1:1" x14ac:dyDescent="0.25">
      <c r="A161" s="19" t="s">
        <v>2815</v>
      </c>
    </row>
    <row r="162" spans="1:1" x14ac:dyDescent="0.25">
      <c r="A162" s="19" t="s">
        <v>2816</v>
      </c>
    </row>
    <row r="163" spans="1:1" x14ac:dyDescent="0.25">
      <c r="A163" s="19" t="s">
        <v>2817</v>
      </c>
    </row>
    <row r="164" spans="1:1" x14ac:dyDescent="0.25">
      <c r="A164" s="19" t="s">
        <v>2818</v>
      </c>
    </row>
    <row r="165" spans="1:1" x14ac:dyDescent="0.25">
      <c r="A165" s="19" t="s">
        <v>2819</v>
      </c>
    </row>
    <row r="166" spans="1:1" x14ac:dyDescent="0.25">
      <c r="A166" s="19" t="s">
        <v>2820</v>
      </c>
    </row>
    <row r="167" spans="1:1" x14ac:dyDescent="0.25">
      <c r="A167" s="19" t="s">
        <v>2821</v>
      </c>
    </row>
    <row r="168" spans="1:1" x14ac:dyDescent="0.25">
      <c r="A168" s="19" t="s">
        <v>2822</v>
      </c>
    </row>
    <row r="169" spans="1:1" x14ac:dyDescent="0.25">
      <c r="A169" s="19" t="s">
        <v>2823</v>
      </c>
    </row>
    <row r="170" spans="1:1" x14ac:dyDescent="0.25">
      <c r="A170" s="19" t="s">
        <v>2824</v>
      </c>
    </row>
    <row r="171" spans="1:1" x14ac:dyDescent="0.25">
      <c r="A171" s="19" t="s">
        <v>2825</v>
      </c>
    </row>
    <row r="172" spans="1:1" x14ac:dyDescent="0.25">
      <c r="A172" s="19" t="s">
        <v>2826</v>
      </c>
    </row>
    <row r="173" spans="1:1" x14ac:dyDescent="0.25">
      <c r="A173" s="19" t="s">
        <v>2827</v>
      </c>
    </row>
    <row r="174" spans="1:1" x14ac:dyDescent="0.25">
      <c r="A174" s="19" t="s">
        <v>2828</v>
      </c>
    </row>
    <row r="175" spans="1:1" x14ac:dyDescent="0.25">
      <c r="A175" s="19" t="s">
        <v>2829</v>
      </c>
    </row>
    <row r="176" spans="1:1" x14ac:dyDescent="0.25">
      <c r="A176" s="19" t="s">
        <v>2830</v>
      </c>
    </row>
    <row r="177" spans="1:1" x14ac:dyDescent="0.25">
      <c r="A177" s="19" t="s">
        <v>2831</v>
      </c>
    </row>
    <row r="178" spans="1:1" x14ac:dyDescent="0.25">
      <c r="A178" s="19" t="s">
        <v>2832</v>
      </c>
    </row>
    <row r="179" spans="1:1" x14ac:dyDescent="0.25">
      <c r="A179" s="19" t="s">
        <v>2833</v>
      </c>
    </row>
    <row r="180" spans="1:1" x14ac:dyDescent="0.25">
      <c r="A180" s="19" t="s">
        <v>2834</v>
      </c>
    </row>
    <row r="181" spans="1:1" x14ac:dyDescent="0.25">
      <c r="A181" s="19" t="s">
        <v>2835</v>
      </c>
    </row>
    <row r="182" spans="1:1" x14ac:dyDescent="0.25">
      <c r="A182" s="19" t="s">
        <v>2836</v>
      </c>
    </row>
    <row r="183" spans="1:1" x14ac:dyDescent="0.25">
      <c r="A183" s="19" t="s">
        <v>2837</v>
      </c>
    </row>
    <row r="184" spans="1:1" x14ac:dyDescent="0.25">
      <c r="A184" s="19" t="s">
        <v>2838</v>
      </c>
    </row>
    <row r="185" spans="1:1" x14ac:dyDescent="0.25">
      <c r="A185" s="19" t="s">
        <v>2839</v>
      </c>
    </row>
    <row r="186" spans="1:1" x14ac:dyDescent="0.25">
      <c r="A186" s="19" t="s">
        <v>2840</v>
      </c>
    </row>
    <row r="187" spans="1:1" x14ac:dyDescent="0.25">
      <c r="A187" s="19" t="s">
        <v>2841</v>
      </c>
    </row>
    <row r="188" spans="1:1" x14ac:dyDescent="0.25">
      <c r="A188" s="19" t="s">
        <v>2842</v>
      </c>
    </row>
    <row r="189" spans="1:1" x14ac:dyDescent="0.25">
      <c r="A189" s="19" t="s">
        <v>2843</v>
      </c>
    </row>
    <row r="190" spans="1:1" x14ac:dyDescent="0.25">
      <c r="A190" s="19" t="s">
        <v>2844</v>
      </c>
    </row>
    <row r="191" spans="1:1" x14ac:dyDescent="0.25">
      <c r="A191" s="19" t="s">
        <v>2844</v>
      </c>
    </row>
    <row r="192" spans="1:1" x14ac:dyDescent="0.25">
      <c r="A192" s="19" t="s">
        <v>2845</v>
      </c>
    </row>
    <row r="193" spans="1:1" x14ac:dyDescent="0.25">
      <c r="A193" s="19" t="s">
        <v>2846</v>
      </c>
    </row>
    <row r="194" spans="1:1" x14ac:dyDescent="0.25">
      <c r="A194" s="19" t="s">
        <v>2847</v>
      </c>
    </row>
    <row r="195" spans="1:1" x14ac:dyDescent="0.25">
      <c r="A195" s="19" t="s">
        <v>2848</v>
      </c>
    </row>
    <row r="196" spans="1:1" x14ac:dyDescent="0.25">
      <c r="A196" s="19" t="s">
        <v>2849</v>
      </c>
    </row>
    <row r="197" spans="1:1" x14ac:dyDescent="0.25">
      <c r="A197" s="19" t="s">
        <v>2850</v>
      </c>
    </row>
    <row r="198" spans="1:1" x14ac:dyDescent="0.25">
      <c r="A198" s="19" t="s">
        <v>2851</v>
      </c>
    </row>
    <row r="199" spans="1:1" x14ac:dyDescent="0.25">
      <c r="A199" s="19" t="s">
        <v>2852</v>
      </c>
    </row>
    <row r="200" spans="1:1" x14ac:dyDescent="0.25">
      <c r="A200" s="19" t="s">
        <v>2853</v>
      </c>
    </row>
    <row r="201" spans="1:1" x14ac:dyDescent="0.25">
      <c r="A201" s="19" t="s">
        <v>2853</v>
      </c>
    </row>
    <row r="202" spans="1:1" x14ac:dyDescent="0.25">
      <c r="A202" s="19" t="s">
        <v>2854</v>
      </c>
    </row>
    <row r="203" spans="1:1" x14ac:dyDescent="0.25">
      <c r="A203" s="19" t="s">
        <v>2855</v>
      </c>
    </row>
    <row r="204" spans="1:1" x14ac:dyDescent="0.25">
      <c r="A204" s="19" t="s">
        <v>2856</v>
      </c>
    </row>
    <row r="205" spans="1:1" x14ac:dyDescent="0.25">
      <c r="A205" s="19" t="s">
        <v>2857</v>
      </c>
    </row>
    <row r="206" spans="1:1" x14ac:dyDescent="0.25">
      <c r="A206" s="19" t="s">
        <v>2858</v>
      </c>
    </row>
    <row r="207" spans="1:1" x14ac:dyDescent="0.25">
      <c r="A207" s="19" t="s">
        <v>2859</v>
      </c>
    </row>
    <row r="208" spans="1:1" x14ac:dyDescent="0.25">
      <c r="A208" s="19" t="s">
        <v>2860</v>
      </c>
    </row>
    <row r="209" spans="1:1" x14ac:dyDescent="0.25">
      <c r="A209" s="19" t="s">
        <v>2861</v>
      </c>
    </row>
    <row r="210" spans="1:1" x14ac:dyDescent="0.25">
      <c r="A210" s="19" t="s">
        <v>2862</v>
      </c>
    </row>
    <row r="211" spans="1:1" x14ac:dyDescent="0.25">
      <c r="A211" s="19" t="s">
        <v>2863</v>
      </c>
    </row>
    <row r="212" spans="1:1" x14ac:dyDescent="0.25">
      <c r="A212" s="19" t="s">
        <v>2864</v>
      </c>
    </row>
    <row r="213" spans="1:1" x14ac:dyDescent="0.25">
      <c r="A213" s="19" t="s">
        <v>2865</v>
      </c>
    </row>
    <row r="214" spans="1:1" x14ac:dyDescent="0.25">
      <c r="A214" s="19" t="s">
        <v>2866</v>
      </c>
    </row>
    <row r="215" spans="1:1" x14ac:dyDescent="0.25">
      <c r="A215" s="19" t="s">
        <v>2867</v>
      </c>
    </row>
    <row r="216" spans="1:1" x14ac:dyDescent="0.25">
      <c r="A216" s="19" t="s">
        <v>2868</v>
      </c>
    </row>
    <row r="217" spans="1:1" x14ac:dyDescent="0.25">
      <c r="A217" s="19" t="s">
        <v>2869</v>
      </c>
    </row>
    <row r="218" spans="1:1" x14ac:dyDescent="0.25">
      <c r="A218" s="19" t="s">
        <v>2870</v>
      </c>
    </row>
    <row r="219" spans="1:1" x14ac:dyDescent="0.25">
      <c r="A219" s="19" t="s">
        <v>2871</v>
      </c>
    </row>
    <row r="220" spans="1:1" x14ac:dyDescent="0.25">
      <c r="A220" s="19" t="s">
        <v>2872</v>
      </c>
    </row>
    <row r="221" spans="1:1" x14ac:dyDescent="0.25">
      <c r="A221" s="19" t="s">
        <v>2873</v>
      </c>
    </row>
    <row r="222" spans="1:1" x14ac:dyDescent="0.25">
      <c r="A222" s="19" t="s">
        <v>2874</v>
      </c>
    </row>
    <row r="223" spans="1:1" x14ac:dyDescent="0.25">
      <c r="A223" s="19" t="s">
        <v>2875</v>
      </c>
    </row>
    <row r="224" spans="1:1" x14ac:dyDescent="0.25">
      <c r="A224" s="19" t="s">
        <v>2876</v>
      </c>
    </row>
    <row r="225" spans="1:1" x14ac:dyDescent="0.25">
      <c r="A225" s="19" t="s">
        <v>2877</v>
      </c>
    </row>
    <row r="226" spans="1:1" x14ac:dyDescent="0.25">
      <c r="A226" s="19" t="s">
        <v>2878</v>
      </c>
    </row>
    <row r="227" spans="1:1" x14ac:dyDescent="0.25">
      <c r="A227" s="19" t="s">
        <v>2879</v>
      </c>
    </row>
    <row r="228" spans="1:1" x14ac:dyDescent="0.25">
      <c r="A228" s="19" t="s">
        <v>2880</v>
      </c>
    </row>
    <row r="229" spans="1:1" x14ac:dyDescent="0.25">
      <c r="A229" s="19" t="s">
        <v>2881</v>
      </c>
    </row>
    <row r="230" spans="1:1" x14ac:dyDescent="0.25">
      <c r="A230" s="19" t="s">
        <v>2882</v>
      </c>
    </row>
    <row r="231" spans="1:1" x14ac:dyDescent="0.25">
      <c r="A231" s="19" t="s">
        <v>2883</v>
      </c>
    </row>
    <row r="232" spans="1:1" x14ac:dyDescent="0.25">
      <c r="A232" s="19" t="s">
        <v>2884</v>
      </c>
    </row>
    <row r="233" spans="1:1" x14ac:dyDescent="0.25">
      <c r="A233" s="19" t="s">
        <v>2885</v>
      </c>
    </row>
    <row r="234" spans="1:1" x14ac:dyDescent="0.25">
      <c r="A234" s="19" t="s">
        <v>2885</v>
      </c>
    </row>
    <row r="235" spans="1:1" x14ac:dyDescent="0.25">
      <c r="A235" s="19" t="s">
        <v>2886</v>
      </c>
    </row>
    <row r="236" spans="1:1" x14ac:dyDescent="0.25">
      <c r="A236" s="19" t="s">
        <v>2887</v>
      </c>
    </row>
    <row r="237" spans="1:1" x14ac:dyDescent="0.25">
      <c r="A237" s="19" t="s">
        <v>2888</v>
      </c>
    </row>
    <row r="238" spans="1:1" x14ac:dyDescent="0.25">
      <c r="A238" s="19" t="s">
        <v>2889</v>
      </c>
    </row>
    <row r="239" spans="1:1" x14ac:dyDescent="0.25">
      <c r="A239" s="19" t="s">
        <v>2890</v>
      </c>
    </row>
    <row r="240" spans="1:1" x14ac:dyDescent="0.25">
      <c r="A240" s="19" t="s">
        <v>2891</v>
      </c>
    </row>
    <row r="241" spans="1:1" x14ac:dyDescent="0.25">
      <c r="A241" s="19" t="s">
        <v>2892</v>
      </c>
    </row>
    <row r="242" spans="1:1" x14ac:dyDescent="0.25">
      <c r="A242" s="19" t="s">
        <v>2893</v>
      </c>
    </row>
    <row r="243" spans="1:1" x14ac:dyDescent="0.25">
      <c r="A243" s="19" t="s">
        <v>2894</v>
      </c>
    </row>
    <row r="244" spans="1:1" x14ac:dyDescent="0.25">
      <c r="A244" s="19" t="s">
        <v>2894</v>
      </c>
    </row>
    <row r="245" spans="1:1" x14ac:dyDescent="0.25">
      <c r="A245" s="19" t="s">
        <v>2895</v>
      </c>
    </row>
    <row r="246" spans="1:1" x14ac:dyDescent="0.25">
      <c r="A246" s="19" t="s">
        <v>2896</v>
      </c>
    </row>
    <row r="247" spans="1:1" x14ac:dyDescent="0.25">
      <c r="A247" s="19" t="s">
        <v>2897</v>
      </c>
    </row>
    <row r="248" spans="1:1" x14ac:dyDescent="0.25">
      <c r="A248" s="19" t="s">
        <v>2898</v>
      </c>
    </row>
    <row r="249" spans="1:1" x14ac:dyDescent="0.25">
      <c r="A249" s="19" t="s">
        <v>2899</v>
      </c>
    </row>
    <row r="250" spans="1:1" x14ac:dyDescent="0.25">
      <c r="A250" s="19" t="s">
        <v>2900</v>
      </c>
    </row>
    <row r="251" spans="1:1" x14ac:dyDescent="0.25">
      <c r="A251" s="19" t="s">
        <v>2901</v>
      </c>
    </row>
    <row r="252" spans="1:1" x14ac:dyDescent="0.25">
      <c r="A252" s="19" t="s">
        <v>2902</v>
      </c>
    </row>
    <row r="253" spans="1:1" x14ac:dyDescent="0.25">
      <c r="A253" s="19" t="s">
        <v>2903</v>
      </c>
    </row>
    <row r="254" spans="1:1" x14ac:dyDescent="0.25">
      <c r="A254" s="19" t="s">
        <v>2904</v>
      </c>
    </row>
    <row r="255" spans="1:1" x14ac:dyDescent="0.25">
      <c r="A255" s="19" t="s">
        <v>2905</v>
      </c>
    </row>
    <row r="256" spans="1:1" x14ac:dyDescent="0.25">
      <c r="A256" s="19" t="s">
        <v>2906</v>
      </c>
    </row>
    <row r="257" spans="1:1" x14ac:dyDescent="0.25">
      <c r="A257" s="19" t="s">
        <v>2907</v>
      </c>
    </row>
    <row r="258" spans="1:1" x14ac:dyDescent="0.25">
      <c r="A258" s="19" t="s">
        <v>2908</v>
      </c>
    </row>
    <row r="259" spans="1:1" x14ac:dyDescent="0.25">
      <c r="A259" s="19" t="s">
        <v>2909</v>
      </c>
    </row>
    <row r="260" spans="1:1" x14ac:dyDescent="0.25">
      <c r="A260" s="19" t="s">
        <v>2910</v>
      </c>
    </row>
    <row r="261" spans="1:1" x14ac:dyDescent="0.25">
      <c r="A261" s="19" t="s">
        <v>2911</v>
      </c>
    </row>
    <row r="262" spans="1:1" x14ac:dyDescent="0.25">
      <c r="A262" s="19" t="s">
        <v>2912</v>
      </c>
    </row>
    <row r="263" spans="1:1" x14ac:dyDescent="0.25">
      <c r="A263" s="19" t="s">
        <v>2913</v>
      </c>
    </row>
    <row r="264" spans="1:1" x14ac:dyDescent="0.25">
      <c r="A264" s="19" t="s">
        <v>2914</v>
      </c>
    </row>
    <row r="265" spans="1:1" x14ac:dyDescent="0.25">
      <c r="A265" s="19" t="s">
        <v>2915</v>
      </c>
    </row>
    <row r="266" spans="1:1" x14ac:dyDescent="0.25">
      <c r="A266" s="19" t="s">
        <v>2916</v>
      </c>
    </row>
    <row r="267" spans="1:1" x14ac:dyDescent="0.25">
      <c r="A267" s="19" t="s">
        <v>2917</v>
      </c>
    </row>
    <row r="268" spans="1:1" x14ac:dyDescent="0.25">
      <c r="A268" s="19" t="s">
        <v>2918</v>
      </c>
    </row>
    <row r="269" spans="1:1" x14ac:dyDescent="0.25">
      <c r="A269" s="19" t="s">
        <v>2919</v>
      </c>
    </row>
    <row r="270" spans="1:1" x14ac:dyDescent="0.25">
      <c r="A270" s="19" t="s">
        <v>2920</v>
      </c>
    </row>
    <row r="271" spans="1:1" x14ac:dyDescent="0.25">
      <c r="A271" s="19" t="s">
        <v>2921</v>
      </c>
    </row>
    <row r="272" spans="1:1" x14ac:dyDescent="0.25">
      <c r="A272" s="19" t="s">
        <v>2922</v>
      </c>
    </row>
    <row r="273" spans="1:1" x14ac:dyDescent="0.25">
      <c r="A273" s="19" t="s">
        <v>2923</v>
      </c>
    </row>
    <row r="274" spans="1:1" x14ac:dyDescent="0.25">
      <c r="A274" s="19" t="s">
        <v>2924</v>
      </c>
    </row>
    <row r="275" spans="1:1" x14ac:dyDescent="0.25">
      <c r="A275" s="19" t="s">
        <v>2925</v>
      </c>
    </row>
    <row r="276" spans="1:1" x14ac:dyDescent="0.25">
      <c r="A276" s="19" t="s">
        <v>2926</v>
      </c>
    </row>
    <row r="277" spans="1:1" x14ac:dyDescent="0.25">
      <c r="A277" s="19" t="s">
        <v>2927</v>
      </c>
    </row>
    <row r="278" spans="1:1" x14ac:dyDescent="0.25">
      <c r="A278" s="19" t="s">
        <v>2928</v>
      </c>
    </row>
    <row r="279" spans="1:1" x14ac:dyDescent="0.25">
      <c r="A279" s="19" t="s">
        <v>2929</v>
      </c>
    </row>
    <row r="280" spans="1:1" x14ac:dyDescent="0.25">
      <c r="A280" s="19" t="s">
        <v>2930</v>
      </c>
    </row>
    <row r="281" spans="1:1" x14ac:dyDescent="0.25">
      <c r="A281" s="19" t="s">
        <v>2931</v>
      </c>
    </row>
    <row r="282" spans="1:1" x14ac:dyDescent="0.25">
      <c r="A282" s="19" t="s">
        <v>2932</v>
      </c>
    </row>
    <row r="283" spans="1:1" x14ac:dyDescent="0.25">
      <c r="A283" s="19" t="s">
        <v>2933</v>
      </c>
    </row>
    <row r="284" spans="1:1" x14ac:dyDescent="0.25">
      <c r="A284" s="19" t="s">
        <v>2934</v>
      </c>
    </row>
    <row r="285" spans="1:1" x14ac:dyDescent="0.25">
      <c r="A285" s="19" t="s">
        <v>2935</v>
      </c>
    </row>
    <row r="286" spans="1:1" x14ac:dyDescent="0.25">
      <c r="A286" s="19" t="s">
        <v>2936</v>
      </c>
    </row>
    <row r="287" spans="1:1" x14ac:dyDescent="0.25">
      <c r="A287" s="19" t="s">
        <v>2937</v>
      </c>
    </row>
    <row r="288" spans="1:1" x14ac:dyDescent="0.25">
      <c r="A288" s="19" t="s">
        <v>2938</v>
      </c>
    </row>
    <row r="289" spans="1:1" x14ac:dyDescent="0.25">
      <c r="A289" s="19" t="s">
        <v>2939</v>
      </c>
    </row>
    <row r="290" spans="1:1" x14ac:dyDescent="0.25">
      <c r="A290" s="19" t="s">
        <v>2940</v>
      </c>
    </row>
    <row r="291" spans="1:1" x14ac:dyDescent="0.25">
      <c r="A291" s="19" t="s">
        <v>2941</v>
      </c>
    </row>
    <row r="292" spans="1:1" x14ac:dyDescent="0.25">
      <c r="A292" s="19" t="s">
        <v>2942</v>
      </c>
    </row>
    <row r="293" spans="1:1" x14ac:dyDescent="0.25">
      <c r="A293" s="19" t="s">
        <v>2943</v>
      </c>
    </row>
    <row r="294" spans="1:1" x14ac:dyDescent="0.25">
      <c r="A294" s="19" t="s">
        <v>2944</v>
      </c>
    </row>
    <row r="295" spans="1:1" x14ac:dyDescent="0.25">
      <c r="A295" s="19" t="s">
        <v>2945</v>
      </c>
    </row>
    <row r="296" spans="1:1" x14ac:dyDescent="0.25">
      <c r="A296" s="19" t="s">
        <v>2946</v>
      </c>
    </row>
    <row r="297" spans="1:1" x14ac:dyDescent="0.25">
      <c r="A297" s="19" t="s">
        <v>2947</v>
      </c>
    </row>
    <row r="298" spans="1:1" x14ac:dyDescent="0.25">
      <c r="A298" s="19" t="s">
        <v>2948</v>
      </c>
    </row>
    <row r="299" spans="1:1" x14ac:dyDescent="0.25">
      <c r="A299" s="19" t="s">
        <v>2949</v>
      </c>
    </row>
    <row r="300" spans="1:1" x14ac:dyDescent="0.25">
      <c r="A300" s="19" t="s">
        <v>2949</v>
      </c>
    </row>
    <row r="301" spans="1:1" x14ac:dyDescent="0.25">
      <c r="A301" s="19" t="s">
        <v>2950</v>
      </c>
    </row>
    <row r="302" spans="1:1" x14ac:dyDescent="0.25">
      <c r="A302" s="19" t="s">
        <v>2951</v>
      </c>
    </row>
    <row r="303" spans="1:1" x14ac:dyDescent="0.25">
      <c r="A303" s="19" t="s">
        <v>2952</v>
      </c>
    </row>
    <row r="304" spans="1:1" x14ac:dyDescent="0.25">
      <c r="A304" s="19" t="s">
        <v>2953</v>
      </c>
    </row>
    <row r="305" spans="1:1" x14ac:dyDescent="0.25">
      <c r="A305" s="19" t="s">
        <v>2954</v>
      </c>
    </row>
    <row r="306" spans="1:1" x14ac:dyDescent="0.25">
      <c r="A306" s="19" t="s">
        <v>2955</v>
      </c>
    </row>
    <row r="307" spans="1:1" x14ac:dyDescent="0.25">
      <c r="A307" s="19" t="s">
        <v>2956</v>
      </c>
    </row>
    <row r="308" spans="1:1" x14ac:dyDescent="0.25">
      <c r="A308" s="19" t="s">
        <v>2957</v>
      </c>
    </row>
    <row r="309" spans="1:1" x14ac:dyDescent="0.25">
      <c r="A309" s="19" t="s">
        <v>2958</v>
      </c>
    </row>
    <row r="310" spans="1:1" x14ac:dyDescent="0.25">
      <c r="A310" s="19" t="s">
        <v>2959</v>
      </c>
    </row>
    <row r="311" spans="1:1" x14ac:dyDescent="0.25">
      <c r="A311" s="19" t="s">
        <v>2960</v>
      </c>
    </row>
    <row r="312" spans="1:1" x14ac:dyDescent="0.25">
      <c r="A312" s="19" t="s">
        <v>2961</v>
      </c>
    </row>
    <row r="313" spans="1:1" x14ac:dyDescent="0.25">
      <c r="A313" s="19" t="s">
        <v>2962</v>
      </c>
    </row>
    <row r="314" spans="1:1" x14ac:dyDescent="0.25">
      <c r="A314" s="19" t="s">
        <v>2963</v>
      </c>
    </row>
    <row r="315" spans="1:1" x14ac:dyDescent="0.25">
      <c r="A315" s="19" t="s">
        <v>2964</v>
      </c>
    </row>
    <row r="316" spans="1:1" x14ac:dyDescent="0.25">
      <c r="A316" s="19" t="s">
        <v>2965</v>
      </c>
    </row>
    <row r="317" spans="1:1" x14ac:dyDescent="0.25">
      <c r="A317" s="19" t="s">
        <v>2966</v>
      </c>
    </row>
    <row r="318" spans="1:1" x14ac:dyDescent="0.25">
      <c r="A318" s="19" t="s">
        <v>2967</v>
      </c>
    </row>
    <row r="319" spans="1:1" x14ac:dyDescent="0.25">
      <c r="A319" s="19" t="s">
        <v>2968</v>
      </c>
    </row>
    <row r="320" spans="1:1" x14ac:dyDescent="0.25">
      <c r="A320" s="19" t="s">
        <v>2969</v>
      </c>
    </row>
    <row r="321" spans="1:1" x14ac:dyDescent="0.25">
      <c r="A321" s="19" t="s">
        <v>2970</v>
      </c>
    </row>
    <row r="322" spans="1:1" x14ac:dyDescent="0.25">
      <c r="A322" s="19" t="s">
        <v>2971</v>
      </c>
    </row>
    <row r="323" spans="1:1" x14ac:dyDescent="0.25">
      <c r="A323" s="19" t="s">
        <v>2972</v>
      </c>
    </row>
    <row r="324" spans="1:1" x14ac:dyDescent="0.25">
      <c r="A324" s="19" t="s">
        <v>2973</v>
      </c>
    </row>
    <row r="325" spans="1:1" x14ac:dyDescent="0.25">
      <c r="A325" s="19" t="s">
        <v>2974</v>
      </c>
    </row>
    <row r="326" spans="1:1" x14ac:dyDescent="0.25">
      <c r="A326" s="19" t="s">
        <v>2975</v>
      </c>
    </row>
    <row r="327" spans="1:1" x14ac:dyDescent="0.25">
      <c r="A327" s="19" t="s">
        <v>2976</v>
      </c>
    </row>
    <row r="328" spans="1:1" x14ac:dyDescent="0.25">
      <c r="A328" s="19" t="s">
        <v>2977</v>
      </c>
    </row>
    <row r="329" spans="1:1" x14ac:dyDescent="0.25">
      <c r="A329" s="19" t="s">
        <v>2978</v>
      </c>
    </row>
    <row r="330" spans="1:1" x14ac:dyDescent="0.25">
      <c r="A330" s="19" t="s">
        <v>2979</v>
      </c>
    </row>
    <row r="331" spans="1:1" x14ac:dyDescent="0.25">
      <c r="A331" s="19" t="s">
        <v>2980</v>
      </c>
    </row>
    <row r="332" spans="1:1" x14ac:dyDescent="0.25">
      <c r="A332" s="19" t="s">
        <v>2981</v>
      </c>
    </row>
    <row r="333" spans="1:1" x14ac:dyDescent="0.25">
      <c r="A333" s="19" t="s">
        <v>2981</v>
      </c>
    </row>
    <row r="334" spans="1:1" x14ac:dyDescent="0.25">
      <c r="A334" s="19" t="s">
        <v>2981</v>
      </c>
    </row>
    <row r="335" spans="1:1" x14ac:dyDescent="0.25">
      <c r="A335" s="19" t="s">
        <v>2981</v>
      </c>
    </row>
    <row r="336" spans="1:1" x14ac:dyDescent="0.25">
      <c r="A336" s="19" t="s">
        <v>2982</v>
      </c>
    </row>
    <row r="337" spans="1:1" x14ac:dyDescent="0.25">
      <c r="A337" s="19" t="s">
        <v>2983</v>
      </c>
    </row>
    <row r="338" spans="1:1" x14ac:dyDescent="0.25">
      <c r="A338" s="19" t="s">
        <v>2984</v>
      </c>
    </row>
    <row r="339" spans="1:1" x14ac:dyDescent="0.25">
      <c r="A339" s="19" t="s">
        <v>2985</v>
      </c>
    </row>
    <row r="340" spans="1:1" x14ac:dyDescent="0.25">
      <c r="A340" s="19" t="s">
        <v>2986</v>
      </c>
    </row>
    <row r="341" spans="1:1" x14ac:dyDescent="0.25">
      <c r="A341" s="19" t="s">
        <v>2987</v>
      </c>
    </row>
    <row r="342" spans="1:1" x14ac:dyDescent="0.25">
      <c r="A342" s="19" t="s">
        <v>2988</v>
      </c>
    </row>
    <row r="343" spans="1:1" x14ac:dyDescent="0.25">
      <c r="A343" s="19" t="s">
        <v>2989</v>
      </c>
    </row>
    <row r="344" spans="1:1" x14ac:dyDescent="0.25">
      <c r="A344" s="19" t="s">
        <v>2990</v>
      </c>
    </row>
    <row r="345" spans="1:1" x14ac:dyDescent="0.25">
      <c r="A345" s="19" t="s">
        <v>2991</v>
      </c>
    </row>
    <row r="346" spans="1:1" x14ac:dyDescent="0.25">
      <c r="A346" s="19" t="s">
        <v>2992</v>
      </c>
    </row>
    <row r="347" spans="1:1" x14ac:dyDescent="0.25">
      <c r="A347" s="19" t="s">
        <v>2993</v>
      </c>
    </row>
    <row r="348" spans="1:1" x14ac:dyDescent="0.25">
      <c r="A348" s="19" t="s">
        <v>2994</v>
      </c>
    </row>
    <row r="349" spans="1:1" x14ac:dyDescent="0.25">
      <c r="A349" s="19" t="s">
        <v>2995</v>
      </c>
    </row>
    <row r="350" spans="1:1" x14ac:dyDescent="0.25">
      <c r="A350" s="19" t="s">
        <v>2996</v>
      </c>
    </row>
    <row r="351" spans="1:1" x14ac:dyDescent="0.25">
      <c r="A351" s="19" t="s">
        <v>2997</v>
      </c>
    </row>
    <row r="352" spans="1:1" x14ac:dyDescent="0.25">
      <c r="A352" s="19" t="s">
        <v>2998</v>
      </c>
    </row>
    <row r="353" spans="1:1" x14ac:dyDescent="0.25">
      <c r="A353" s="19" t="s">
        <v>2999</v>
      </c>
    </row>
    <row r="354" spans="1:1" x14ac:dyDescent="0.25">
      <c r="A354" s="19" t="s">
        <v>3000</v>
      </c>
    </row>
    <row r="355" spans="1:1" x14ac:dyDescent="0.25">
      <c r="A355" s="19" t="s">
        <v>3001</v>
      </c>
    </row>
    <row r="356" spans="1:1" x14ac:dyDescent="0.25">
      <c r="A356" s="19" t="s">
        <v>3002</v>
      </c>
    </row>
    <row r="357" spans="1:1" x14ac:dyDescent="0.25">
      <c r="A357" s="19" t="s">
        <v>3003</v>
      </c>
    </row>
    <row r="358" spans="1:1" x14ac:dyDescent="0.25">
      <c r="A358" s="19" t="s">
        <v>3004</v>
      </c>
    </row>
    <row r="359" spans="1:1" x14ac:dyDescent="0.25">
      <c r="A359" s="19" t="s">
        <v>3005</v>
      </c>
    </row>
    <row r="360" spans="1:1" x14ac:dyDescent="0.25">
      <c r="A360" s="19" t="s">
        <v>3006</v>
      </c>
    </row>
    <row r="361" spans="1:1" x14ac:dyDescent="0.25">
      <c r="A361" s="19" t="s">
        <v>3007</v>
      </c>
    </row>
    <row r="362" spans="1:1" x14ac:dyDescent="0.25">
      <c r="A362" s="19" t="s">
        <v>3008</v>
      </c>
    </row>
    <row r="363" spans="1:1" x14ac:dyDescent="0.25">
      <c r="A363" s="19" t="s">
        <v>3009</v>
      </c>
    </row>
    <row r="364" spans="1:1" x14ac:dyDescent="0.25">
      <c r="A364" s="19" t="s">
        <v>3010</v>
      </c>
    </row>
    <row r="365" spans="1:1" x14ac:dyDescent="0.25">
      <c r="A365" s="19" t="s">
        <v>3011</v>
      </c>
    </row>
    <row r="366" spans="1:1" x14ac:dyDescent="0.25">
      <c r="A366" s="19" t="s">
        <v>3012</v>
      </c>
    </row>
    <row r="367" spans="1:1" x14ac:dyDescent="0.25">
      <c r="A367" s="19" t="s">
        <v>3012</v>
      </c>
    </row>
    <row r="368" spans="1:1" x14ac:dyDescent="0.25">
      <c r="A368" s="19" t="s">
        <v>3012</v>
      </c>
    </row>
    <row r="369" spans="1:1" x14ac:dyDescent="0.25">
      <c r="A369" s="19" t="s">
        <v>3013</v>
      </c>
    </row>
    <row r="370" spans="1:1" x14ac:dyDescent="0.25">
      <c r="A370" s="19" t="s">
        <v>3014</v>
      </c>
    </row>
    <row r="371" spans="1:1" x14ac:dyDescent="0.25">
      <c r="A371" s="19" t="s">
        <v>3015</v>
      </c>
    </row>
    <row r="372" spans="1:1" x14ac:dyDescent="0.25">
      <c r="A372" s="19" t="s">
        <v>3016</v>
      </c>
    </row>
    <row r="373" spans="1:1" x14ac:dyDescent="0.25">
      <c r="A373" s="19" t="s">
        <v>3017</v>
      </c>
    </row>
    <row r="374" spans="1:1" x14ac:dyDescent="0.25">
      <c r="A374" s="19" t="s">
        <v>3018</v>
      </c>
    </row>
    <row r="375" spans="1:1" x14ac:dyDescent="0.25">
      <c r="A375" s="19" t="s">
        <v>3019</v>
      </c>
    </row>
    <row r="376" spans="1:1" x14ac:dyDescent="0.25">
      <c r="A376" s="19" t="s">
        <v>3020</v>
      </c>
    </row>
    <row r="377" spans="1:1" x14ac:dyDescent="0.25">
      <c r="A377" s="19" t="s">
        <v>3021</v>
      </c>
    </row>
    <row r="378" spans="1:1" x14ac:dyDescent="0.25">
      <c r="A378" s="19" t="s">
        <v>3022</v>
      </c>
    </row>
    <row r="379" spans="1:1" x14ac:dyDescent="0.25">
      <c r="A379" s="19" t="s">
        <v>3023</v>
      </c>
    </row>
    <row r="380" spans="1:1" x14ac:dyDescent="0.25">
      <c r="A380" s="19" t="s">
        <v>3024</v>
      </c>
    </row>
    <row r="381" spans="1:1" x14ac:dyDescent="0.25">
      <c r="A381" s="19" t="s">
        <v>3025</v>
      </c>
    </row>
    <row r="382" spans="1:1" x14ac:dyDescent="0.25">
      <c r="A382" s="19" t="s">
        <v>3026</v>
      </c>
    </row>
    <row r="383" spans="1:1" x14ac:dyDescent="0.25">
      <c r="A383" s="19" t="s">
        <v>3027</v>
      </c>
    </row>
    <row r="384" spans="1:1" x14ac:dyDescent="0.25">
      <c r="A384" s="19" t="s">
        <v>3028</v>
      </c>
    </row>
    <row r="385" spans="1:1" x14ac:dyDescent="0.25">
      <c r="A385" s="19" t="s">
        <v>3029</v>
      </c>
    </row>
    <row r="386" spans="1:1" x14ac:dyDescent="0.25">
      <c r="A386" s="19" t="s">
        <v>3030</v>
      </c>
    </row>
    <row r="387" spans="1:1" x14ac:dyDescent="0.25">
      <c r="A387" s="19" t="s">
        <v>3031</v>
      </c>
    </row>
    <row r="388" spans="1:1" x14ac:dyDescent="0.25">
      <c r="A388" s="19" t="s">
        <v>3032</v>
      </c>
    </row>
    <row r="389" spans="1:1" x14ac:dyDescent="0.25">
      <c r="A389" s="19" t="s">
        <v>3033</v>
      </c>
    </row>
    <row r="390" spans="1:1" x14ac:dyDescent="0.25">
      <c r="A390" s="19" t="s">
        <v>3034</v>
      </c>
    </row>
    <row r="391" spans="1:1" x14ac:dyDescent="0.25">
      <c r="A391" s="19" t="s">
        <v>3035</v>
      </c>
    </row>
    <row r="392" spans="1:1" x14ac:dyDescent="0.25">
      <c r="A392" s="19" t="s">
        <v>3036</v>
      </c>
    </row>
    <row r="393" spans="1:1" x14ac:dyDescent="0.25">
      <c r="A393" s="19" t="s">
        <v>3037</v>
      </c>
    </row>
    <row r="394" spans="1:1" x14ac:dyDescent="0.25">
      <c r="A394" s="19" t="s">
        <v>3038</v>
      </c>
    </row>
    <row r="395" spans="1:1" x14ac:dyDescent="0.25">
      <c r="A395" s="19" t="s">
        <v>3039</v>
      </c>
    </row>
    <row r="396" spans="1:1" x14ac:dyDescent="0.25">
      <c r="A396" s="19" t="s">
        <v>3040</v>
      </c>
    </row>
    <row r="397" spans="1:1" x14ac:dyDescent="0.25">
      <c r="A397" s="19" t="s">
        <v>3041</v>
      </c>
    </row>
    <row r="398" spans="1:1" x14ac:dyDescent="0.25">
      <c r="A398" s="19" t="s">
        <v>3042</v>
      </c>
    </row>
    <row r="399" spans="1:1" x14ac:dyDescent="0.25">
      <c r="A399" s="19" t="s">
        <v>3043</v>
      </c>
    </row>
    <row r="400" spans="1:1" x14ac:dyDescent="0.25">
      <c r="A400" s="19" t="s">
        <v>3044</v>
      </c>
    </row>
    <row r="401" spans="1:1" x14ac:dyDescent="0.25">
      <c r="A401" s="19" t="s">
        <v>3045</v>
      </c>
    </row>
    <row r="402" spans="1:1" x14ac:dyDescent="0.25">
      <c r="A402" s="19" t="s">
        <v>3046</v>
      </c>
    </row>
    <row r="403" spans="1:1" x14ac:dyDescent="0.25">
      <c r="A403" s="19" t="s">
        <v>3047</v>
      </c>
    </row>
    <row r="404" spans="1:1" x14ac:dyDescent="0.25">
      <c r="A404" s="19" t="s">
        <v>3048</v>
      </c>
    </row>
    <row r="405" spans="1:1" x14ac:dyDescent="0.25">
      <c r="A405" s="19" t="s">
        <v>3049</v>
      </c>
    </row>
    <row r="406" spans="1:1" x14ac:dyDescent="0.25">
      <c r="A406" s="19" t="s">
        <v>3050</v>
      </c>
    </row>
    <row r="407" spans="1:1" x14ac:dyDescent="0.25">
      <c r="A407" s="19" t="s">
        <v>3051</v>
      </c>
    </row>
    <row r="408" spans="1:1" x14ac:dyDescent="0.25">
      <c r="A408" s="19" t="s">
        <v>3052</v>
      </c>
    </row>
    <row r="409" spans="1:1" x14ac:dyDescent="0.25">
      <c r="A409" s="19" t="s">
        <v>3053</v>
      </c>
    </row>
    <row r="410" spans="1:1" x14ac:dyDescent="0.25">
      <c r="A410" s="19" t="s">
        <v>3054</v>
      </c>
    </row>
    <row r="411" spans="1:1" x14ac:dyDescent="0.25">
      <c r="A411" s="19" t="s">
        <v>3055</v>
      </c>
    </row>
    <row r="412" spans="1:1" x14ac:dyDescent="0.25">
      <c r="A412" s="19" t="s">
        <v>3056</v>
      </c>
    </row>
    <row r="413" spans="1:1" x14ac:dyDescent="0.25">
      <c r="A413" s="19" t="s">
        <v>3057</v>
      </c>
    </row>
    <row r="414" spans="1:1" x14ac:dyDescent="0.25">
      <c r="A414" s="19" t="s">
        <v>3058</v>
      </c>
    </row>
    <row r="415" spans="1:1" x14ac:dyDescent="0.25">
      <c r="A415" s="19" t="s">
        <v>3059</v>
      </c>
    </row>
    <row r="416" spans="1:1" x14ac:dyDescent="0.25">
      <c r="A416" s="19" t="s">
        <v>3060</v>
      </c>
    </row>
    <row r="417" spans="1:1" x14ac:dyDescent="0.25">
      <c r="A417" s="19" t="s">
        <v>3061</v>
      </c>
    </row>
    <row r="418" spans="1:1" x14ac:dyDescent="0.25">
      <c r="A418" s="19" t="s">
        <v>3062</v>
      </c>
    </row>
    <row r="419" spans="1:1" x14ac:dyDescent="0.25">
      <c r="A419" s="19" t="s">
        <v>3063</v>
      </c>
    </row>
    <row r="420" spans="1:1" x14ac:dyDescent="0.25">
      <c r="A420" s="19" t="s">
        <v>3064</v>
      </c>
    </row>
    <row r="421" spans="1:1" x14ac:dyDescent="0.25">
      <c r="A421" s="19" t="s">
        <v>3065</v>
      </c>
    </row>
    <row r="422" spans="1:1" x14ac:dyDescent="0.25">
      <c r="A422" s="19" t="s">
        <v>3066</v>
      </c>
    </row>
    <row r="423" spans="1:1" x14ac:dyDescent="0.25">
      <c r="A423" s="19" t="s">
        <v>3067</v>
      </c>
    </row>
    <row r="424" spans="1:1" x14ac:dyDescent="0.25">
      <c r="A424" s="19" t="s">
        <v>3068</v>
      </c>
    </row>
    <row r="425" spans="1:1" x14ac:dyDescent="0.25">
      <c r="A425" s="19" t="s">
        <v>3069</v>
      </c>
    </row>
    <row r="426" spans="1:1" x14ac:dyDescent="0.25">
      <c r="A426" s="19" t="s">
        <v>3070</v>
      </c>
    </row>
    <row r="427" spans="1:1" x14ac:dyDescent="0.25">
      <c r="A427" s="19" t="s">
        <v>3071</v>
      </c>
    </row>
    <row r="428" spans="1:1" x14ac:dyDescent="0.25">
      <c r="A428" s="19" t="s">
        <v>3072</v>
      </c>
    </row>
    <row r="429" spans="1:1" x14ac:dyDescent="0.25">
      <c r="A429" s="19" t="s">
        <v>3073</v>
      </c>
    </row>
    <row r="430" spans="1:1" x14ac:dyDescent="0.25">
      <c r="A430" s="19" t="s">
        <v>3074</v>
      </c>
    </row>
    <row r="431" spans="1:1" x14ac:dyDescent="0.25">
      <c r="A431" s="19" t="s">
        <v>3075</v>
      </c>
    </row>
    <row r="432" spans="1:1" x14ac:dyDescent="0.25">
      <c r="A432" s="19" t="s">
        <v>3076</v>
      </c>
    </row>
    <row r="433" spans="1:1" x14ac:dyDescent="0.25">
      <c r="A433" s="19" t="s">
        <v>3077</v>
      </c>
    </row>
    <row r="434" spans="1:1" x14ac:dyDescent="0.25">
      <c r="A434" s="19" t="s">
        <v>3078</v>
      </c>
    </row>
    <row r="435" spans="1:1" x14ac:dyDescent="0.25">
      <c r="A435" s="19" t="s">
        <v>3079</v>
      </c>
    </row>
    <row r="436" spans="1:1" x14ac:dyDescent="0.25">
      <c r="A436" s="19" t="s">
        <v>3080</v>
      </c>
    </row>
    <row r="437" spans="1:1" x14ac:dyDescent="0.25">
      <c r="A437" s="19" t="s">
        <v>3081</v>
      </c>
    </row>
    <row r="438" spans="1:1" x14ac:dyDescent="0.25">
      <c r="A438" s="19" t="s">
        <v>3082</v>
      </c>
    </row>
    <row r="439" spans="1:1" x14ac:dyDescent="0.25">
      <c r="A439" s="19" t="s">
        <v>3083</v>
      </c>
    </row>
    <row r="440" spans="1:1" x14ac:dyDescent="0.25">
      <c r="A440" s="19" t="s">
        <v>3084</v>
      </c>
    </row>
    <row r="441" spans="1:1" x14ac:dyDescent="0.25">
      <c r="A441" s="19" t="s">
        <v>3085</v>
      </c>
    </row>
    <row r="442" spans="1:1" x14ac:dyDescent="0.25">
      <c r="A442" s="19" t="s">
        <v>3086</v>
      </c>
    </row>
    <row r="443" spans="1:1" x14ac:dyDescent="0.25">
      <c r="A443" s="19" t="s">
        <v>3087</v>
      </c>
    </row>
    <row r="444" spans="1:1" x14ac:dyDescent="0.25">
      <c r="A444" s="19" t="s">
        <v>3088</v>
      </c>
    </row>
    <row r="445" spans="1:1" x14ac:dyDescent="0.25">
      <c r="A445" s="19" t="s">
        <v>3089</v>
      </c>
    </row>
    <row r="446" spans="1:1" x14ac:dyDescent="0.25">
      <c r="A446" s="19" t="s">
        <v>3090</v>
      </c>
    </row>
    <row r="447" spans="1:1" x14ac:dyDescent="0.25">
      <c r="A447" s="19" t="s">
        <v>3091</v>
      </c>
    </row>
    <row r="448" spans="1:1" x14ac:dyDescent="0.25">
      <c r="A448" s="19" t="s">
        <v>3092</v>
      </c>
    </row>
    <row r="449" spans="1:1" x14ac:dyDescent="0.25">
      <c r="A449" s="19" t="s">
        <v>3093</v>
      </c>
    </row>
    <row r="450" spans="1:1" x14ac:dyDescent="0.25">
      <c r="A450" s="19" t="s">
        <v>3094</v>
      </c>
    </row>
    <row r="451" spans="1:1" x14ac:dyDescent="0.25">
      <c r="A451" s="19" t="s">
        <v>3095</v>
      </c>
    </row>
    <row r="452" spans="1:1" x14ac:dyDescent="0.25">
      <c r="A452" s="19" t="s">
        <v>3096</v>
      </c>
    </row>
    <row r="453" spans="1:1" x14ac:dyDescent="0.25">
      <c r="A453" s="19" t="s">
        <v>3097</v>
      </c>
    </row>
    <row r="454" spans="1:1" x14ac:dyDescent="0.25">
      <c r="A454" s="19" t="s">
        <v>3098</v>
      </c>
    </row>
    <row r="455" spans="1:1" x14ac:dyDescent="0.25">
      <c r="A455" s="19" t="s">
        <v>3099</v>
      </c>
    </row>
    <row r="456" spans="1:1" x14ac:dyDescent="0.25">
      <c r="A456" s="19" t="s">
        <v>3100</v>
      </c>
    </row>
    <row r="457" spans="1:1" x14ac:dyDescent="0.25">
      <c r="A457" s="19" t="s">
        <v>3101</v>
      </c>
    </row>
    <row r="458" spans="1:1" x14ac:dyDescent="0.25">
      <c r="A458" s="19" t="s">
        <v>3102</v>
      </c>
    </row>
    <row r="459" spans="1:1" x14ac:dyDescent="0.25">
      <c r="A459" s="19" t="s">
        <v>3103</v>
      </c>
    </row>
    <row r="460" spans="1:1" x14ac:dyDescent="0.25">
      <c r="A460" s="19" t="s">
        <v>3104</v>
      </c>
    </row>
    <row r="461" spans="1:1" x14ac:dyDescent="0.25">
      <c r="A461" s="19" t="s">
        <v>3105</v>
      </c>
    </row>
    <row r="462" spans="1:1" x14ac:dyDescent="0.25">
      <c r="A462" s="19" t="s">
        <v>3106</v>
      </c>
    </row>
    <row r="463" spans="1:1" x14ac:dyDescent="0.25">
      <c r="A463" s="19" t="s">
        <v>3107</v>
      </c>
    </row>
    <row r="464" spans="1:1" x14ac:dyDescent="0.25">
      <c r="A464" s="19" t="s">
        <v>3108</v>
      </c>
    </row>
    <row r="465" spans="1:1" x14ac:dyDescent="0.25">
      <c r="A465" s="19" t="s">
        <v>3109</v>
      </c>
    </row>
    <row r="466" spans="1:1" x14ac:dyDescent="0.25">
      <c r="A466" s="19" t="s">
        <v>3110</v>
      </c>
    </row>
    <row r="467" spans="1:1" x14ac:dyDescent="0.25">
      <c r="A467" s="19" t="s">
        <v>3111</v>
      </c>
    </row>
    <row r="468" spans="1:1" x14ac:dyDescent="0.25">
      <c r="A468" s="19" t="s">
        <v>3112</v>
      </c>
    </row>
    <row r="469" spans="1:1" x14ac:dyDescent="0.25">
      <c r="A469" s="19" t="s">
        <v>3113</v>
      </c>
    </row>
    <row r="470" spans="1:1" x14ac:dyDescent="0.25">
      <c r="A470" s="19" t="s">
        <v>3114</v>
      </c>
    </row>
    <row r="471" spans="1:1" x14ac:dyDescent="0.25">
      <c r="A471" s="19" t="s">
        <v>3115</v>
      </c>
    </row>
    <row r="472" spans="1:1" x14ac:dyDescent="0.25">
      <c r="A472" s="19" t="s">
        <v>3116</v>
      </c>
    </row>
    <row r="473" spans="1:1" x14ac:dyDescent="0.25">
      <c r="A473" s="19" t="s">
        <v>3117</v>
      </c>
    </row>
    <row r="474" spans="1:1" x14ac:dyDescent="0.25">
      <c r="A474" s="19" t="s">
        <v>3118</v>
      </c>
    </row>
    <row r="475" spans="1:1" x14ac:dyDescent="0.25">
      <c r="A475" s="19" t="s">
        <v>3119</v>
      </c>
    </row>
    <row r="476" spans="1:1" x14ac:dyDescent="0.25">
      <c r="A476" s="19" t="s">
        <v>3120</v>
      </c>
    </row>
    <row r="477" spans="1:1" x14ac:dyDescent="0.25">
      <c r="A477" s="19" t="s">
        <v>3121</v>
      </c>
    </row>
    <row r="478" spans="1:1" x14ac:dyDescent="0.25">
      <c r="A478" s="19" t="s">
        <v>3122</v>
      </c>
    </row>
    <row r="479" spans="1:1" x14ac:dyDescent="0.25">
      <c r="A479" s="19" t="s">
        <v>3123</v>
      </c>
    </row>
    <row r="480" spans="1:1" x14ac:dyDescent="0.25">
      <c r="A480" s="19" t="s">
        <v>3124</v>
      </c>
    </row>
    <row r="481" spans="1:1" x14ac:dyDescent="0.25">
      <c r="A481" s="19" t="s">
        <v>3125</v>
      </c>
    </row>
    <row r="482" spans="1:1" x14ac:dyDescent="0.25">
      <c r="A482" s="19" t="s">
        <v>3126</v>
      </c>
    </row>
    <row r="483" spans="1:1" x14ac:dyDescent="0.25">
      <c r="A483" s="19" t="s">
        <v>3127</v>
      </c>
    </row>
    <row r="484" spans="1:1" x14ac:dyDescent="0.25">
      <c r="A484" s="19" t="s">
        <v>3128</v>
      </c>
    </row>
    <row r="485" spans="1:1" x14ac:dyDescent="0.25">
      <c r="A485" s="19" t="s">
        <v>3129</v>
      </c>
    </row>
    <row r="486" spans="1:1" x14ac:dyDescent="0.25">
      <c r="A486" s="19" t="s">
        <v>3130</v>
      </c>
    </row>
    <row r="487" spans="1:1" x14ac:dyDescent="0.25">
      <c r="A487" s="19" t="s">
        <v>3131</v>
      </c>
    </row>
    <row r="488" spans="1:1" x14ac:dyDescent="0.25">
      <c r="A488" s="19" t="s">
        <v>3132</v>
      </c>
    </row>
    <row r="489" spans="1:1" x14ac:dyDescent="0.25">
      <c r="A489" s="19" t="s">
        <v>3133</v>
      </c>
    </row>
    <row r="490" spans="1:1" x14ac:dyDescent="0.25">
      <c r="A490" s="19" t="s">
        <v>3134</v>
      </c>
    </row>
    <row r="491" spans="1:1" x14ac:dyDescent="0.25">
      <c r="A491" s="19" t="s">
        <v>3135</v>
      </c>
    </row>
    <row r="492" spans="1:1" x14ac:dyDescent="0.25">
      <c r="A492" s="19" t="s">
        <v>3136</v>
      </c>
    </row>
    <row r="493" spans="1:1" x14ac:dyDescent="0.25">
      <c r="A493" s="19" t="s">
        <v>3137</v>
      </c>
    </row>
    <row r="494" spans="1:1" x14ac:dyDescent="0.25">
      <c r="A494" s="19" t="s">
        <v>3138</v>
      </c>
    </row>
    <row r="495" spans="1:1" x14ac:dyDescent="0.25">
      <c r="A495" s="19" t="s">
        <v>3139</v>
      </c>
    </row>
    <row r="496" spans="1:1" x14ac:dyDescent="0.25">
      <c r="A496" s="19" t="s">
        <v>3140</v>
      </c>
    </row>
    <row r="497" spans="1:1" x14ac:dyDescent="0.25">
      <c r="A497" s="19" t="s">
        <v>3141</v>
      </c>
    </row>
    <row r="498" spans="1:1" x14ac:dyDescent="0.25">
      <c r="A498" s="19" t="s">
        <v>3142</v>
      </c>
    </row>
    <row r="499" spans="1:1" x14ac:dyDescent="0.25">
      <c r="A499" s="19" t="s">
        <v>3143</v>
      </c>
    </row>
    <row r="500" spans="1:1" x14ac:dyDescent="0.25">
      <c r="A500" s="19" t="s">
        <v>3144</v>
      </c>
    </row>
    <row r="501" spans="1:1" x14ac:dyDescent="0.25">
      <c r="A501" s="19" t="s">
        <v>3145</v>
      </c>
    </row>
    <row r="502" spans="1:1" x14ac:dyDescent="0.25">
      <c r="A502" s="19" t="s">
        <v>3146</v>
      </c>
    </row>
    <row r="503" spans="1:1" x14ac:dyDescent="0.25">
      <c r="A503" s="19" t="s">
        <v>3147</v>
      </c>
    </row>
    <row r="504" spans="1:1" x14ac:dyDescent="0.25">
      <c r="A504" s="19" t="s">
        <v>3148</v>
      </c>
    </row>
    <row r="505" spans="1:1" x14ac:dyDescent="0.25">
      <c r="A505" s="19" t="s">
        <v>3149</v>
      </c>
    </row>
    <row r="506" spans="1:1" x14ac:dyDescent="0.25">
      <c r="A506" s="19" t="s">
        <v>3150</v>
      </c>
    </row>
    <row r="507" spans="1:1" x14ac:dyDescent="0.25">
      <c r="A507" s="19" t="s">
        <v>3151</v>
      </c>
    </row>
    <row r="508" spans="1:1" x14ac:dyDescent="0.25">
      <c r="A508" s="19" t="s">
        <v>3152</v>
      </c>
    </row>
    <row r="509" spans="1:1" x14ac:dyDescent="0.25">
      <c r="A509" s="19" t="s">
        <v>3153</v>
      </c>
    </row>
    <row r="510" spans="1:1" x14ac:dyDescent="0.25">
      <c r="A510" s="19" t="s">
        <v>3154</v>
      </c>
    </row>
    <row r="511" spans="1:1" x14ac:dyDescent="0.25">
      <c r="A511" s="19" t="s">
        <v>3155</v>
      </c>
    </row>
    <row r="512" spans="1:1" x14ac:dyDescent="0.25">
      <c r="A512" s="19" t="s">
        <v>3156</v>
      </c>
    </row>
    <row r="513" spans="1:1" x14ac:dyDescent="0.25">
      <c r="A513" s="19" t="s">
        <v>3157</v>
      </c>
    </row>
    <row r="514" spans="1:1" x14ac:dyDescent="0.25">
      <c r="A514" s="19" t="s">
        <v>3158</v>
      </c>
    </row>
    <row r="515" spans="1:1" x14ac:dyDescent="0.25">
      <c r="A515" s="19" t="s">
        <v>3159</v>
      </c>
    </row>
    <row r="516" spans="1:1" x14ac:dyDescent="0.25">
      <c r="A516" s="19" t="s">
        <v>3160</v>
      </c>
    </row>
    <row r="517" spans="1:1" x14ac:dyDescent="0.25">
      <c r="A517" s="19" t="s">
        <v>3161</v>
      </c>
    </row>
    <row r="518" spans="1:1" x14ac:dyDescent="0.25">
      <c r="A518" s="19" t="s">
        <v>3162</v>
      </c>
    </row>
    <row r="519" spans="1:1" x14ac:dyDescent="0.25">
      <c r="A519" s="19" t="s">
        <v>3163</v>
      </c>
    </row>
    <row r="520" spans="1:1" x14ac:dyDescent="0.25">
      <c r="A520" s="19" t="s">
        <v>3164</v>
      </c>
    </row>
    <row r="521" spans="1:1" x14ac:dyDescent="0.25">
      <c r="A521" s="19" t="s">
        <v>3165</v>
      </c>
    </row>
    <row r="522" spans="1:1" x14ac:dyDescent="0.25">
      <c r="A522" s="19" t="s">
        <v>3166</v>
      </c>
    </row>
    <row r="523" spans="1:1" x14ac:dyDescent="0.25">
      <c r="A523" s="19" t="s">
        <v>3167</v>
      </c>
    </row>
    <row r="524" spans="1:1" x14ac:dyDescent="0.25">
      <c r="A524" s="19" t="s">
        <v>3168</v>
      </c>
    </row>
    <row r="525" spans="1:1" x14ac:dyDescent="0.25">
      <c r="A525" s="19" t="s">
        <v>3169</v>
      </c>
    </row>
    <row r="526" spans="1:1" x14ac:dyDescent="0.25">
      <c r="A526" s="19" t="s">
        <v>3170</v>
      </c>
    </row>
    <row r="527" spans="1:1" x14ac:dyDescent="0.25">
      <c r="A527" s="19" t="s">
        <v>3171</v>
      </c>
    </row>
    <row r="528" spans="1:1" x14ac:dyDescent="0.25">
      <c r="A528" s="19" t="s">
        <v>3172</v>
      </c>
    </row>
    <row r="529" spans="1:1" x14ac:dyDescent="0.25">
      <c r="A529" s="19" t="s">
        <v>3173</v>
      </c>
    </row>
    <row r="530" spans="1:1" x14ac:dyDescent="0.25">
      <c r="A530" s="19" t="s">
        <v>3174</v>
      </c>
    </row>
    <row r="531" spans="1:1" x14ac:dyDescent="0.25">
      <c r="A531" s="19" t="s">
        <v>3175</v>
      </c>
    </row>
    <row r="532" spans="1:1" x14ac:dyDescent="0.25">
      <c r="A532" s="19" t="s">
        <v>3176</v>
      </c>
    </row>
    <row r="533" spans="1:1" x14ac:dyDescent="0.25">
      <c r="A533" s="19" t="s">
        <v>3177</v>
      </c>
    </row>
    <row r="534" spans="1:1" x14ac:dyDescent="0.25">
      <c r="A534" s="19" t="s">
        <v>3178</v>
      </c>
    </row>
    <row r="535" spans="1:1" x14ac:dyDescent="0.25">
      <c r="A535" s="19" t="s">
        <v>3179</v>
      </c>
    </row>
    <row r="536" spans="1:1" x14ac:dyDescent="0.25">
      <c r="A536" s="19" t="s">
        <v>3180</v>
      </c>
    </row>
    <row r="537" spans="1:1" x14ac:dyDescent="0.25">
      <c r="A537" s="19" t="s">
        <v>3181</v>
      </c>
    </row>
    <row r="538" spans="1:1" x14ac:dyDescent="0.25">
      <c r="A538" s="19" t="s">
        <v>3182</v>
      </c>
    </row>
    <row r="539" spans="1:1" x14ac:dyDescent="0.25">
      <c r="A539" s="19" t="s">
        <v>3183</v>
      </c>
    </row>
    <row r="540" spans="1:1" x14ac:dyDescent="0.25">
      <c r="A540" s="19" t="s">
        <v>3184</v>
      </c>
    </row>
    <row r="541" spans="1:1" x14ac:dyDescent="0.25">
      <c r="A541" s="19" t="s">
        <v>3185</v>
      </c>
    </row>
    <row r="542" spans="1:1" x14ac:dyDescent="0.25">
      <c r="A542" s="19" t="s">
        <v>3186</v>
      </c>
    </row>
    <row r="543" spans="1:1" x14ac:dyDescent="0.25">
      <c r="A543" s="19" t="s">
        <v>3187</v>
      </c>
    </row>
    <row r="544" spans="1:1" x14ac:dyDescent="0.25">
      <c r="A544" s="19" t="s">
        <v>3188</v>
      </c>
    </row>
    <row r="545" spans="1:1" x14ac:dyDescent="0.25">
      <c r="A545" s="19" t="s">
        <v>3189</v>
      </c>
    </row>
    <row r="546" spans="1:1" x14ac:dyDescent="0.25">
      <c r="A546" s="19" t="s">
        <v>3190</v>
      </c>
    </row>
    <row r="547" spans="1:1" x14ac:dyDescent="0.25">
      <c r="A547" s="19" t="s">
        <v>3191</v>
      </c>
    </row>
    <row r="548" spans="1:1" x14ac:dyDescent="0.25">
      <c r="A548" s="19" t="s">
        <v>3192</v>
      </c>
    </row>
    <row r="549" spans="1:1" x14ac:dyDescent="0.25">
      <c r="A549" s="19" t="s">
        <v>3193</v>
      </c>
    </row>
    <row r="550" spans="1:1" x14ac:dyDescent="0.25">
      <c r="A550" s="19" t="s">
        <v>3194</v>
      </c>
    </row>
    <row r="551" spans="1:1" x14ac:dyDescent="0.25">
      <c r="A551" s="19" t="s">
        <v>3195</v>
      </c>
    </row>
    <row r="552" spans="1:1" x14ac:dyDescent="0.25">
      <c r="A552" s="19" t="s">
        <v>3196</v>
      </c>
    </row>
    <row r="553" spans="1:1" x14ac:dyDescent="0.25">
      <c r="A553" s="19" t="s">
        <v>3197</v>
      </c>
    </row>
    <row r="554" spans="1:1" x14ac:dyDescent="0.25">
      <c r="A554" s="19" t="s">
        <v>3198</v>
      </c>
    </row>
    <row r="555" spans="1:1" x14ac:dyDescent="0.25">
      <c r="A555" s="19" t="s">
        <v>3199</v>
      </c>
    </row>
    <row r="556" spans="1:1" x14ac:dyDescent="0.25">
      <c r="A556" s="19" t="s">
        <v>3200</v>
      </c>
    </row>
    <row r="557" spans="1:1" x14ac:dyDescent="0.25">
      <c r="A557" s="19" t="s">
        <v>3201</v>
      </c>
    </row>
    <row r="558" spans="1:1" x14ac:dyDescent="0.25">
      <c r="A558" s="19" t="s">
        <v>3202</v>
      </c>
    </row>
    <row r="559" spans="1:1" x14ac:dyDescent="0.25">
      <c r="A559" s="19" t="s">
        <v>3203</v>
      </c>
    </row>
    <row r="560" spans="1:1" x14ac:dyDescent="0.25">
      <c r="A560" s="19" t="s">
        <v>3204</v>
      </c>
    </row>
    <row r="561" spans="1:1" x14ac:dyDescent="0.25">
      <c r="A561" s="19" t="s">
        <v>3205</v>
      </c>
    </row>
    <row r="562" spans="1:1" x14ac:dyDescent="0.25">
      <c r="A562" s="19" t="s">
        <v>3206</v>
      </c>
    </row>
    <row r="563" spans="1:1" x14ac:dyDescent="0.25">
      <c r="A563" s="19" t="s">
        <v>3207</v>
      </c>
    </row>
    <row r="564" spans="1:1" x14ac:dyDescent="0.25">
      <c r="A564" s="19" t="s">
        <v>3208</v>
      </c>
    </row>
    <row r="565" spans="1:1" x14ac:dyDescent="0.25">
      <c r="A565" s="19" t="s">
        <v>3209</v>
      </c>
    </row>
    <row r="566" spans="1:1" x14ac:dyDescent="0.25">
      <c r="A566" s="19" t="s">
        <v>3210</v>
      </c>
    </row>
    <row r="567" spans="1:1" x14ac:dyDescent="0.25">
      <c r="A567" s="19" t="s">
        <v>3211</v>
      </c>
    </row>
    <row r="568" spans="1:1" x14ac:dyDescent="0.25">
      <c r="A568" s="19" t="s">
        <v>3212</v>
      </c>
    </row>
    <row r="569" spans="1:1" x14ac:dyDescent="0.25">
      <c r="A569" s="19" t="s">
        <v>3213</v>
      </c>
    </row>
    <row r="570" spans="1:1" x14ac:dyDescent="0.25">
      <c r="A570" s="19" t="s">
        <v>3214</v>
      </c>
    </row>
    <row r="571" spans="1:1" x14ac:dyDescent="0.25">
      <c r="A571" s="19" t="s">
        <v>3215</v>
      </c>
    </row>
    <row r="572" spans="1:1" x14ac:dyDescent="0.25">
      <c r="A572" s="19" t="s">
        <v>3216</v>
      </c>
    </row>
    <row r="573" spans="1:1" x14ac:dyDescent="0.25">
      <c r="A573" s="19" t="s">
        <v>3217</v>
      </c>
    </row>
    <row r="574" spans="1:1" x14ac:dyDescent="0.25">
      <c r="A574" s="19" t="s">
        <v>3218</v>
      </c>
    </row>
    <row r="575" spans="1:1" x14ac:dyDescent="0.25">
      <c r="A575" s="19" t="s">
        <v>3219</v>
      </c>
    </row>
    <row r="576" spans="1:1" x14ac:dyDescent="0.25">
      <c r="A576" s="19" t="s">
        <v>3220</v>
      </c>
    </row>
    <row r="577" spans="1:1" x14ac:dyDescent="0.25">
      <c r="A577" s="19" t="s">
        <v>3221</v>
      </c>
    </row>
    <row r="578" spans="1:1" x14ac:dyDescent="0.25">
      <c r="A578" s="19" t="s">
        <v>3222</v>
      </c>
    </row>
    <row r="579" spans="1:1" x14ac:dyDescent="0.25">
      <c r="A579" s="19" t="s">
        <v>3223</v>
      </c>
    </row>
    <row r="580" spans="1:1" x14ac:dyDescent="0.25">
      <c r="A580" s="19" t="s">
        <v>3224</v>
      </c>
    </row>
    <row r="581" spans="1:1" x14ac:dyDescent="0.25">
      <c r="A581" s="19" t="s">
        <v>3225</v>
      </c>
    </row>
    <row r="582" spans="1:1" x14ac:dyDescent="0.25">
      <c r="A582" s="19" t="s">
        <v>3226</v>
      </c>
    </row>
    <row r="583" spans="1:1" x14ac:dyDescent="0.25">
      <c r="A583" s="19" t="s">
        <v>3227</v>
      </c>
    </row>
    <row r="584" spans="1:1" x14ac:dyDescent="0.25">
      <c r="A584" s="19" t="s">
        <v>3228</v>
      </c>
    </row>
    <row r="585" spans="1:1" x14ac:dyDescent="0.25">
      <c r="A585" s="19" t="s">
        <v>3229</v>
      </c>
    </row>
    <row r="586" spans="1:1" x14ac:dyDescent="0.25">
      <c r="A586" s="19" t="s">
        <v>3230</v>
      </c>
    </row>
    <row r="587" spans="1:1" x14ac:dyDescent="0.25">
      <c r="A587" s="19" t="s">
        <v>3231</v>
      </c>
    </row>
    <row r="588" spans="1:1" x14ac:dyDescent="0.25">
      <c r="A588" s="19" t="s">
        <v>3232</v>
      </c>
    </row>
    <row r="589" spans="1:1" x14ac:dyDescent="0.25">
      <c r="A589" s="19" t="s">
        <v>3233</v>
      </c>
    </row>
    <row r="590" spans="1:1" x14ac:dyDescent="0.25">
      <c r="A590" s="19" t="s">
        <v>3234</v>
      </c>
    </row>
    <row r="591" spans="1:1" x14ac:dyDescent="0.25">
      <c r="A591" s="19" t="s">
        <v>3235</v>
      </c>
    </row>
    <row r="592" spans="1:1" x14ac:dyDescent="0.25">
      <c r="A592" s="19" t="s">
        <v>3236</v>
      </c>
    </row>
    <row r="593" spans="1:1" x14ac:dyDescent="0.25">
      <c r="A593" s="19" t="s">
        <v>3237</v>
      </c>
    </row>
    <row r="594" spans="1:1" x14ac:dyDescent="0.25">
      <c r="A594" s="19" t="s">
        <v>3238</v>
      </c>
    </row>
    <row r="595" spans="1:1" x14ac:dyDescent="0.25">
      <c r="A595" s="19" t="s">
        <v>3239</v>
      </c>
    </row>
    <row r="596" spans="1:1" x14ac:dyDescent="0.25">
      <c r="A596" s="19" t="s">
        <v>3240</v>
      </c>
    </row>
    <row r="597" spans="1:1" x14ac:dyDescent="0.25">
      <c r="A597" s="19" t="s">
        <v>3241</v>
      </c>
    </row>
    <row r="598" spans="1:1" x14ac:dyDescent="0.25">
      <c r="A598" s="19" t="s">
        <v>3242</v>
      </c>
    </row>
    <row r="599" spans="1:1" x14ac:dyDescent="0.25">
      <c r="A599" s="19" t="s">
        <v>3243</v>
      </c>
    </row>
    <row r="600" spans="1:1" x14ac:dyDescent="0.25">
      <c r="A600" s="19" t="s">
        <v>3244</v>
      </c>
    </row>
    <row r="601" spans="1:1" x14ac:dyDescent="0.25">
      <c r="A601" s="19" t="s">
        <v>3245</v>
      </c>
    </row>
    <row r="602" spans="1:1" x14ac:dyDescent="0.25">
      <c r="A602" s="19" t="s">
        <v>3245</v>
      </c>
    </row>
    <row r="603" spans="1:1" x14ac:dyDescent="0.25">
      <c r="A603" s="19" t="s">
        <v>3246</v>
      </c>
    </row>
    <row r="604" spans="1:1" x14ac:dyDescent="0.25">
      <c r="A604" s="19" t="s">
        <v>3247</v>
      </c>
    </row>
    <row r="605" spans="1:1" x14ac:dyDescent="0.25">
      <c r="A605" s="19" t="s">
        <v>3248</v>
      </c>
    </row>
    <row r="606" spans="1:1" x14ac:dyDescent="0.25">
      <c r="A606" s="19" t="s">
        <v>3249</v>
      </c>
    </row>
    <row r="607" spans="1:1" x14ac:dyDescent="0.25">
      <c r="A607" s="19" t="s">
        <v>3250</v>
      </c>
    </row>
    <row r="608" spans="1:1" x14ac:dyDescent="0.25">
      <c r="A608" s="19" t="s">
        <v>3251</v>
      </c>
    </row>
    <row r="609" spans="1:1" x14ac:dyDescent="0.25">
      <c r="A609" s="19" t="s">
        <v>3251</v>
      </c>
    </row>
    <row r="610" spans="1:1" x14ac:dyDescent="0.25">
      <c r="A610" s="19" t="s">
        <v>3251</v>
      </c>
    </row>
    <row r="611" spans="1:1" x14ac:dyDescent="0.25">
      <c r="A611" s="19" t="s">
        <v>3252</v>
      </c>
    </row>
    <row r="612" spans="1:1" x14ac:dyDescent="0.25">
      <c r="A612" s="19" t="s">
        <v>3253</v>
      </c>
    </row>
    <row r="613" spans="1:1" x14ac:dyDescent="0.25">
      <c r="A613" s="19" t="s">
        <v>3254</v>
      </c>
    </row>
    <row r="614" spans="1:1" x14ac:dyDescent="0.25">
      <c r="A614" s="19" t="s">
        <v>3255</v>
      </c>
    </row>
    <row r="615" spans="1:1" x14ac:dyDescent="0.25">
      <c r="A615" s="19" t="s">
        <v>3256</v>
      </c>
    </row>
    <row r="616" spans="1:1" x14ac:dyDescent="0.25">
      <c r="A616" s="19" t="s">
        <v>3257</v>
      </c>
    </row>
    <row r="617" spans="1:1" x14ac:dyDescent="0.25">
      <c r="A617" s="19" t="s">
        <v>3258</v>
      </c>
    </row>
    <row r="618" spans="1:1" x14ac:dyDescent="0.25">
      <c r="A618" s="19" t="s">
        <v>3259</v>
      </c>
    </row>
    <row r="619" spans="1:1" x14ac:dyDescent="0.25">
      <c r="A619" s="19" t="s">
        <v>3260</v>
      </c>
    </row>
    <row r="620" spans="1:1" x14ac:dyDescent="0.25">
      <c r="A620" s="19" t="s">
        <v>3261</v>
      </c>
    </row>
    <row r="621" spans="1:1" x14ac:dyDescent="0.25">
      <c r="A621" s="19" t="s">
        <v>3262</v>
      </c>
    </row>
    <row r="622" spans="1:1" x14ac:dyDescent="0.25">
      <c r="A622" s="19" t="s">
        <v>3263</v>
      </c>
    </row>
    <row r="623" spans="1:1" x14ac:dyDescent="0.25">
      <c r="A623" s="19" t="s">
        <v>3264</v>
      </c>
    </row>
    <row r="624" spans="1:1" x14ac:dyDescent="0.25">
      <c r="A624" s="19" t="s">
        <v>3265</v>
      </c>
    </row>
    <row r="625" spans="1:1" x14ac:dyDescent="0.25">
      <c r="A625" s="19" t="s">
        <v>3266</v>
      </c>
    </row>
    <row r="626" spans="1:1" x14ac:dyDescent="0.25">
      <c r="A626" s="19" t="s">
        <v>3267</v>
      </c>
    </row>
    <row r="627" spans="1:1" x14ac:dyDescent="0.25">
      <c r="A627" s="19" t="s">
        <v>3268</v>
      </c>
    </row>
    <row r="628" spans="1:1" x14ac:dyDescent="0.25">
      <c r="A628" s="19" t="s">
        <v>3269</v>
      </c>
    </row>
    <row r="629" spans="1:1" x14ac:dyDescent="0.25">
      <c r="A629" s="19" t="s">
        <v>3270</v>
      </c>
    </row>
    <row r="630" spans="1:1" x14ac:dyDescent="0.25">
      <c r="A630" s="19" t="s">
        <v>3271</v>
      </c>
    </row>
    <row r="631" spans="1:1" x14ac:dyDescent="0.25">
      <c r="A631" s="19" t="s">
        <v>3272</v>
      </c>
    </row>
    <row r="632" spans="1:1" x14ac:dyDescent="0.25">
      <c r="A632" s="19" t="s">
        <v>3273</v>
      </c>
    </row>
    <row r="633" spans="1:1" x14ac:dyDescent="0.25">
      <c r="A633" s="19" t="s">
        <v>3274</v>
      </c>
    </row>
    <row r="634" spans="1:1" x14ac:dyDescent="0.25">
      <c r="A634" s="19" t="s">
        <v>3275</v>
      </c>
    </row>
    <row r="635" spans="1:1" x14ac:dyDescent="0.25">
      <c r="A635" s="19" t="s">
        <v>3276</v>
      </c>
    </row>
    <row r="636" spans="1:1" x14ac:dyDescent="0.25">
      <c r="A636" s="19" t="s">
        <v>3277</v>
      </c>
    </row>
    <row r="637" spans="1:1" x14ac:dyDescent="0.25">
      <c r="A637" s="19" t="s">
        <v>3278</v>
      </c>
    </row>
    <row r="638" spans="1:1" x14ac:dyDescent="0.25">
      <c r="A638" s="19" t="s">
        <v>3279</v>
      </c>
    </row>
    <row r="639" spans="1:1" x14ac:dyDescent="0.25">
      <c r="A639" s="19" t="s">
        <v>3280</v>
      </c>
    </row>
    <row r="640" spans="1:1" x14ac:dyDescent="0.25">
      <c r="A640" s="19" t="s">
        <v>3281</v>
      </c>
    </row>
    <row r="641" spans="1:1" x14ac:dyDescent="0.25">
      <c r="A641" s="19" t="s">
        <v>3282</v>
      </c>
    </row>
    <row r="642" spans="1:1" x14ac:dyDescent="0.25">
      <c r="A642" s="19" t="s">
        <v>3283</v>
      </c>
    </row>
    <row r="643" spans="1:1" x14ac:dyDescent="0.25">
      <c r="A643" s="19" t="s">
        <v>3284</v>
      </c>
    </row>
    <row r="644" spans="1:1" x14ac:dyDescent="0.25">
      <c r="A644" s="19" t="s">
        <v>3285</v>
      </c>
    </row>
    <row r="645" spans="1:1" x14ac:dyDescent="0.25">
      <c r="A645" s="19" t="s">
        <v>3286</v>
      </c>
    </row>
    <row r="646" spans="1:1" x14ac:dyDescent="0.25">
      <c r="A646" s="19" t="s">
        <v>3287</v>
      </c>
    </row>
    <row r="647" spans="1:1" x14ac:dyDescent="0.25">
      <c r="A647" s="19" t="s">
        <v>3288</v>
      </c>
    </row>
    <row r="648" spans="1:1" x14ac:dyDescent="0.25">
      <c r="A648" s="19" t="s">
        <v>3289</v>
      </c>
    </row>
    <row r="649" spans="1:1" x14ac:dyDescent="0.25">
      <c r="A649" s="19" t="s">
        <v>3290</v>
      </c>
    </row>
    <row r="650" spans="1:1" x14ac:dyDescent="0.25">
      <c r="A650" s="19" t="s">
        <v>3291</v>
      </c>
    </row>
    <row r="651" spans="1:1" x14ac:dyDescent="0.25">
      <c r="A651" s="19" t="s">
        <v>3292</v>
      </c>
    </row>
    <row r="652" spans="1:1" x14ac:dyDescent="0.25">
      <c r="A652" s="19" t="s">
        <v>3293</v>
      </c>
    </row>
    <row r="653" spans="1:1" x14ac:dyDescent="0.25">
      <c r="A653" s="19" t="s">
        <v>3294</v>
      </c>
    </row>
    <row r="654" spans="1:1" x14ac:dyDescent="0.25">
      <c r="A654" s="19" t="s">
        <v>3295</v>
      </c>
    </row>
    <row r="655" spans="1:1" x14ac:dyDescent="0.25">
      <c r="A655" s="19" t="s">
        <v>3296</v>
      </c>
    </row>
    <row r="656" spans="1:1" x14ac:dyDescent="0.25">
      <c r="A656" s="19" t="s">
        <v>3297</v>
      </c>
    </row>
    <row r="657" spans="1:1" x14ac:dyDescent="0.25">
      <c r="A657" s="19" t="s">
        <v>3298</v>
      </c>
    </row>
    <row r="658" spans="1:1" x14ac:dyDescent="0.25">
      <c r="A658" s="19" t="s">
        <v>3299</v>
      </c>
    </row>
    <row r="659" spans="1:1" x14ac:dyDescent="0.25">
      <c r="A659" s="19" t="s">
        <v>3300</v>
      </c>
    </row>
    <row r="660" spans="1:1" x14ac:dyDescent="0.25">
      <c r="A660" s="19" t="s">
        <v>3301</v>
      </c>
    </row>
    <row r="661" spans="1:1" x14ac:dyDescent="0.25">
      <c r="A661" s="19" t="s">
        <v>3301</v>
      </c>
    </row>
    <row r="662" spans="1:1" x14ac:dyDescent="0.25">
      <c r="A662" s="19" t="s">
        <v>3302</v>
      </c>
    </row>
    <row r="663" spans="1:1" x14ac:dyDescent="0.25">
      <c r="A663" s="19" t="s">
        <v>3303</v>
      </c>
    </row>
    <row r="664" spans="1:1" x14ac:dyDescent="0.25">
      <c r="A664" s="19" t="s">
        <v>3304</v>
      </c>
    </row>
    <row r="665" spans="1:1" x14ac:dyDescent="0.25">
      <c r="A665" s="19" t="s">
        <v>3305</v>
      </c>
    </row>
    <row r="666" spans="1:1" x14ac:dyDescent="0.25">
      <c r="A666" s="19" t="s">
        <v>3306</v>
      </c>
    </row>
    <row r="667" spans="1:1" x14ac:dyDescent="0.25">
      <c r="A667" s="19" t="s">
        <v>3307</v>
      </c>
    </row>
    <row r="668" spans="1:1" x14ac:dyDescent="0.25">
      <c r="A668" s="19" t="s">
        <v>3308</v>
      </c>
    </row>
    <row r="669" spans="1:1" x14ac:dyDescent="0.25">
      <c r="A669" s="19" t="s">
        <v>3309</v>
      </c>
    </row>
    <row r="670" spans="1:1" x14ac:dyDescent="0.25">
      <c r="A670" s="19" t="s">
        <v>3310</v>
      </c>
    </row>
    <row r="671" spans="1:1" x14ac:dyDescent="0.25">
      <c r="A671" s="19" t="s">
        <v>3311</v>
      </c>
    </row>
    <row r="672" spans="1:1" x14ac:dyDescent="0.25">
      <c r="A672" s="19" t="s">
        <v>3312</v>
      </c>
    </row>
    <row r="673" spans="1:1" x14ac:dyDescent="0.25">
      <c r="A673" s="19" t="s">
        <v>3313</v>
      </c>
    </row>
    <row r="674" spans="1:1" x14ac:dyDescent="0.25">
      <c r="A674" s="19" t="s">
        <v>3314</v>
      </c>
    </row>
    <row r="675" spans="1:1" x14ac:dyDescent="0.25">
      <c r="A675" s="19" t="s">
        <v>3315</v>
      </c>
    </row>
    <row r="676" spans="1:1" x14ac:dyDescent="0.25">
      <c r="A676" s="19" t="s">
        <v>3316</v>
      </c>
    </row>
    <row r="677" spans="1:1" x14ac:dyDescent="0.25">
      <c r="A677" s="19" t="s">
        <v>3317</v>
      </c>
    </row>
    <row r="678" spans="1:1" x14ac:dyDescent="0.25">
      <c r="A678" s="19" t="s">
        <v>3318</v>
      </c>
    </row>
    <row r="679" spans="1:1" x14ac:dyDescent="0.25">
      <c r="A679" s="19" t="s">
        <v>3319</v>
      </c>
    </row>
    <row r="680" spans="1:1" x14ac:dyDescent="0.25">
      <c r="A680" s="19" t="s">
        <v>3320</v>
      </c>
    </row>
    <row r="681" spans="1:1" x14ac:dyDescent="0.25">
      <c r="A681" s="19" t="s">
        <v>3321</v>
      </c>
    </row>
    <row r="682" spans="1:1" x14ac:dyDescent="0.25">
      <c r="A682" s="19" t="s">
        <v>3322</v>
      </c>
    </row>
    <row r="683" spans="1:1" x14ac:dyDescent="0.25">
      <c r="A683" s="19" t="s">
        <v>3323</v>
      </c>
    </row>
    <row r="684" spans="1:1" x14ac:dyDescent="0.25">
      <c r="A684" s="19" t="s">
        <v>3324</v>
      </c>
    </row>
    <row r="685" spans="1:1" x14ac:dyDescent="0.25">
      <c r="A685" s="19" t="s">
        <v>3325</v>
      </c>
    </row>
    <row r="686" spans="1:1" x14ac:dyDescent="0.25">
      <c r="A686" s="19" t="s">
        <v>3326</v>
      </c>
    </row>
    <row r="687" spans="1:1" x14ac:dyDescent="0.25">
      <c r="A687" s="19" t="s">
        <v>3327</v>
      </c>
    </row>
    <row r="688" spans="1:1" x14ac:dyDescent="0.25">
      <c r="A688" s="19" t="s">
        <v>3328</v>
      </c>
    </row>
    <row r="689" spans="1:1" x14ac:dyDescent="0.25">
      <c r="A689" s="19" t="s">
        <v>3329</v>
      </c>
    </row>
    <row r="690" spans="1:1" x14ac:dyDescent="0.25">
      <c r="A690" s="19" t="s">
        <v>3330</v>
      </c>
    </row>
    <row r="691" spans="1:1" x14ac:dyDescent="0.25">
      <c r="A691" s="19" t="s">
        <v>3331</v>
      </c>
    </row>
    <row r="692" spans="1:1" x14ac:dyDescent="0.25">
      <c r="A692" s="19" t="s">
        <v>3332</v>
      </c>
    </row>
    <row r="693" spans="1:1" x14ac:dyDescent="0.25">
      <c r="A693" s="19" t="s">
        <v>3333</v>
      </c>
    </row>
    <row r="694" spans="1:1" x14ac:dyDescent="0.25">
      <c r="A694" s="19" t="s">
        <v>3334</v>
      </c>
    </row>
    <row r="695" spans="1:1" x14ac:dyDescent="0.25">
      <c r="A695" s="19" t="s">
        <v>3335</v>
      </c>
    </row>
    <row r="696" spans="1:1" x14ac:dyDescent="0.25">
      <c r="A696" s="19" t="s">
        <v>3336</v>
      </c>
    </row>
    <row r="697" spans="1:1" x14ac:dyDescent="0.25">
      <c r="A697" s="19" t="s">
        <v>3337</v>
      </c>
    </row>
    <row r="698" spans="1:1" x14ac:dyDescent="0.25">
      <c r="A698" s="19" t="s">
        <v>3338</v>
      </c>
    </row>
    <row r="699" spans="1:1" x14ac:dyDescent="0.25">
      <c r="A699" s="19" t="s">
        <v>3339</v>
      </c>
    </row>
    <row r="700" spans="1:1" x14ac:dyDescent="0.25">
      <c r="A700" s="19" t="s">
        <v>3340</v>
      </c>
    </row>
    <row r="701" spans="1:1" x14ac:dyDescent="0.25">
      <c r="A701" s="19" t="s">
        <v>3341</v>
      </c>
    </row>
    <row r="702" spans="1:1" x14ac:dyDescent="0.25">
      <c r="A702" s="19" t="s">
        <v>3342</v>
      </c>
    </row>
    <row r="703" spans="1:1" x14ac:dyDescent="0.25">
      <c r="A703" s="19" t="s">
        <v>3343</v>
      </c>
    </row>
    <row r="704" spans="1:1" x14ac:dyDescent="0.25">
      <c r="A704" s="19" t="s">
        <v>3344</v>
      </c>
    </row>
    <row r="705" spans="1:1" x14ac:dyDescent="0.25">
      <c r="A705" s="19" t="s">
        <v>3345</v>
      </c>
    </row>
    <row r="706" spans="1:1" x14ac:dyDescent="0.25">
      <c r="A706" s="19" t="s">
        <v>3346</v>
      </c>
    </row>
    <row r="707" spans="1:1" x14ac:dyDescent="0.25">
      <c r="A707" s="19" t="s">
        <v>3347</v>
      </c>
    </row>
    <row r="708" spans="1:1" x14ac:dyDescent="0.25">
      <c r="A708" s="19" t="s">
        <v>3348</v>
      </c>
    </row>
    <row r="709" spans="1:1" x14ac:dyDescent="0.25">
      <c r="A709" s="19" t="s">
        <v>3349</v>
      </c>
    </row>
    <row r="710" spans="1:1" x14ac:dyDescent="0.25">
      <c r="A710" s="19" t="s">
        <v>3350</v>
      </c>
    </row>
    <row r="711" spans="1:1" x14ac:dyDescent="0.25">
      <c r="A711" s="19" t="s">
        <v>3351</v>
      </c>
    </row>
    <row r="712" spans="1:1" x14ac:dyDescent="0.25">
      <c r="A712" s="19" t="s">
        <v>3352</v>
      </c>
    </row>
    <row r="713" spans="1:1" x14ac:dyDescent="0.25">
      <c r="A713" s="19" t="s">
        <v>3353</v>
      </c>
    </row>
    <row r="714" spans="1:1" x14ac:dyDescent="0.25">
      <c r="A714" s="19" t="s">
        <v>3354</v>
      </c>
    </row>
    <row r="715" spans="1:1" x14ac:dyDescent="0.25">
      <c r="A715" s="19" t="s">
        <v>3355</v>
      </c>
    </row>
    <row r="716" spans="1:1" x14ac:dyDescent="0.25">
      <c r="A716" s="19" t="s">
        <v>3356</v>
      </c>
    </row>
    <row r="717" spans="1:1" x14ac:dyDescent="0.25">
      <c r="A717" s="19" t="s">
        <v>3357</v>
      </c>
    </row>
    <row r="718" spans="1:1" x14ac:dyDescent="0.25">
      <c r="A718" s="19" t="s">
        <v>3358</v>
      </c>
    </row>
    <row r="719" spans="1:1" x14ac:dyDescent="0.25">
      <c r="A719" s="19" t="s">
        <v>3359</v>
      </c>
    </row>
    <row r="720" spans="1:1" x14ac:dyDescent="0.25">
      <c r="A720" s="19" t="s">
        <v>3360</v>
      </c>
    </row>
    <row r="721" spans="1:1" x14ac:dyDescent="0.25">
      <c r="A721" s="19" t="s">
        <v>3361</v>
      </c>
    </row>
    <row r="722" spans="1:1" x14ac:dyDescent="0.25">
      <c r="A722" s="19" t="s">
        <v>3361</v>
      </c>
    </row>
    <row r="723" spans="1:1" x14ac:dyDescent="0.25">
      <c r="A723" s="19" t="s">
        <v>3361</v>
      </c>
    </row>
    <row r="724" spans="1:1" x14ac:dyDescent="0.25">
      <c r="A724" s="19" t="s">
        <v>3362</v>
      </c>
    </row>
    <row r="725" spans="1:1" x14ac:dyDescent="0.25">
      <c r="A725" s="19" t="s">
        <v>3363</v>
      </c>
    </row>
    <row r="726" spans="1:1" x14ac:dyDescent="0.25">
      <c r="A726" s="19" t="s">
        <v>3364</v>
      </c>
    </row>
    <row r="727" spans="1:1" x14ac:dyDescent="0.25">
      <c r="A727" s="19" t="s">
        <v>3365</v>
      </c>
    </row>
    <row r="728" spans="1:1" x14ac:dyDescent="0.25">
      <c r="A728" s="19" t="s">
        <v>3366</v>
      </c>
    </row>
    <row r="729" spans="1:1" x14ac:dyDescent="0.25">
      <c r="A729" s="19" t="s">
        <v>3367</v>
      </c>
    </row>
    <row r="730" spans="1:1" x14ac:dyDescent="0.25">
      <c r="A730" s="19" t="s">
        <v>3368</v>
      </c>
    </row>
    <row r="731" spans="1:1" x14ac:dyDescent="0.25">
      <c r="A731" s="19" t="s">
        <v>3369</v>
      </c>
    </row>
    <row r="732" spans="1:1" x14ac:dyDescent="0.25">
      <c r="A732" s="19" t="s">
        <v>3370</v>
      </c>
    </row>
    <row r="733" spans="1:1" x14ac:dyDescent="0.25">
      <c r="A733" s="19" t="s">
        <v>3371</v>
      </c>
    </row>
    <row r="734" spans="1:1" x14ac:dyDescent="0.25">
      <c r="A734" s="19" t="s">
        <v>3372</v>
      </c>
    </row>
    <row r="735" spans="1:1" x14ac:dyDescent="0.25">
      <c r="A735" s="19" t="s">
        <v>3373</v>
      </c>
    </row>
    <row r="736" spans="1:1" x14ac:dyDescent="0.25">
      <c r="A736" s="19" t="s">
        <v>3374</v>
      </c>
    </row>
    <row r="737" spans="1:1" x14ac:dyDescent="0.25">
      <c r="A737" s="19" t="s">
        <v>3375</v>
      </c>
    </row>
    <row r="738" spans="1:1" x14ac:dyDescent="0.25">
      <c r="A738" s="19" t="s">
        <v>3376</v>
      </c>
    </row>
    <row r="739" spans="1:1" x14ac:dyDescent="0.25">
      <c r="A739" s="19" t="s">
        <v>3377</v>
      </c>
    </row>
    <row r="740" spans="1:1" x14ac:dyDescent="0.25">
      <c r="A740" s="19" t="s">
        <v>3378</v>
      </c>
    </row>
    <row r="741" spans="1:1" x14ac:dyDescent="0.25">
      <c r="A741" s="19" t="s">
        <v>3379</v>
      </c>
    </row>
    <row r="742" spans="1:1" x14ac:dyDescent="0.25">
      <c r="A742" s="19" t="s">
        <v>3380</v>
      </c>
    </row>
    <row r="743" spans="1:1" x14ac:dyDescent="0.25">
      <c r="A743" s="19" t="s">
        <v>3381</v>
      </c>
    </row>
    <row r="744" spans="1:1" x14ac:dyDescent="0.25">
      <c r="A744" s="19" t="s">
        <v>3381</v>
      </c>
    </row>
    <row r="745" spans="1:1" x14ac:dyDescent="0.25">
      <c r="A745" s="19" t="s">
        <v>3381</v>
      </c>
    </row>
    <row r="746" spans="1:1" x14ac:dyDescent="0.25">
      <c r="A746" s="19" t="s">
        <v>3382</v>
      </c>
    </row>
    <row r="747" spans="1:1" x14ac:dyDescent="0.25">
      <c r="A747" s="19" t="s">
        <v>3383</v>
      </c>
    </row>
    <row r="748" spans="1:1" x14ac:dyDescent="0.25">
      <c r="A748" s="19" t="s">
        <v>3384</v>
      </c>
    </row>
    <row r="749" spans="1:1" x14ac:dyDescent="0.25">
      <c r="A749" s="19" t="s">
        <v>3385</v>
      </c>
    </row>
    <row r="750" spans="1:1" x14ac:dyDescent="0.25">
      <c r="A750" s="19" t="s">
        <v>3386</v>
      </c>
    </row>
    <row r="751" spans="1:1" x14ac:dyDescent="0.25">
      <c r="A751" s="19" t="s">
        <v>3387</v>
      </c>
    </row>
    <row r="752" spans="1:1" x14ac:dyDescent="0.25">
      <c r="A752" s="19" t="s">
        <v>3388</v>
      </c>
    </row>
    <row r="753" spans="1:1" x14ac:dyDescent="0.25">
      <c r="A753" s="19" t="s">
        <v>3389</v>
      </c>
    </row>
    <row r="754" spans="1:1" x14ac:dyDescent="0.25">
      <c r="A754" s="19" t="s">
        <v>3390</v>
      </c>
    </row>
    <row r="755" spans="1:1" x14ac:dyDescent="0.25">
      <c r="A755" s="19" t="s">
        <v>3391</v>
      </c>
    </row>
    <row r="756" spans="1:1" x14ac:dyDescent="0.25">
      <c r="A756" s="19" t="s">
        <v>3392</v>
      </c>
    </row>
    <row r="757" spans="1:1" x14ac:dyDescent="0.25">
      <c r="A757" s="19" t="s">
        <v>3393</v>
      </c>
    </row>
    <row r="758" spans="1:1" x14ac:dyDescent="0.25">
      <c r="A758" s="19" t="s">
        <v>3394</v>
      </c>
    </row>
    <row r="759" spans="1:1" x14ac:dyDescent="0.25">
      <c r="A759" s="19" t="s">
        <v>3395</v>
      </c>
    </row>
    <row r="760" spans="1:1" x14ac:dyDescent="0.25">
      <c r="A760" s="19" t="s">
        <v>3396</v>
      </c>
    </row>
    <row r="761" spans="1:1" x14ac:dyDescent="0.25">
      <c r="A761" s="19" t="s">
        <v>3397</v>
      </c>
    </row>
    <row r="762" spans="1:1" x14ac:dyDescent="0.25">
      <c r="A762" s="19" t="s">
        <v>3398</v>
      </c>
    </row>
    <row r="763" spans="1:1" x14ac:dyDescent="0.25">
      <c r="A763" s="19" t="s">
        <v>3399</v>
      </c>
    </row>
    <row r="764" spans="1:1" x14ac:dyDescent="0.25">
      <c r="A764" s="19" t="s">
        <v>3400</v>
      </c>
    </row>
    <row r="765" spans="1:1" x14ac:dyDescent="0.25">
      <c r="A765" s="19" t="s">
        <v>3401</v>
      </c>
    </row>
    <row r="766" spans="1:1" x14ac:dyDescent="0.25">
      <c r="A766" s="19" t="s">
        <v>3402</v>
      </c>
    </row>
    <row r="767" spans="1:1" x14ac:dyDescent="0.25">
      <c r="A767" s="19" t="s">
        <v>3403</v>
      </c>
    </row>
    <row r="768" spans="1:1" x14ac:dyDescent="0.25">
      <c r="A768" s="19" t="s">
        <v>3404</v>
      </c>
    </row>
    <row r="769" spans="1:1" x14ac:dyDescent="0.25">
      <c r="A769" s="19" t="s">
        <v>3405</v>
      </c>
    </row>
    <row r="770" spans="1:1" x14ac:dyDescent="0.25">
      <c r="A770" s="19" t="s">
        <v>3406</v>
      </c>
    </row>
    <row r="771" spans="1:1" x14ac:dyDescent="0.25">
      <c r="A771" s="19" t="s">
        <v>3407</v>
      </c>
    </row>
    <row r="772" spans="1:1" x14ac:dyDescent="0.25">
      <c r="A772" s="19" t="s">
        <v>3408</v>
      </c>
    </row>
    <row r="773" spans="1:1" x14ac:dyDescent="0.25">
      <c r="A773" s="19" t="s">
        <v>3409</v>
      </c>
    </row>
    <row r="774" spans="1:1" x14ac:dyDescent="0.25">
      <c r="A774" s="19" t="s">
        <v>3410</v>
      </c>
    </row>
    <row r="775" spans="1:1" x14ac:dyDescent="0.25">
      <c r="A775" s="19" t="s">
        <v>3411</v>
      </c>
    </row>
    <row r="776" spans="1:1" x14ac:dyDescent="0.25">
      <c r="A776" s="19" t="s">
        <v>3412</v>
      </c>
    </row>
    <row r="777" spans="1:1" x14ac:dyDescent="0.25">
      <c r="A777" s="19" t="s">
        <v>3413</v>
      </c>
    </row>
    <row r="778" spans="1:1" x14ac:dyDescent="0.25">
      <c r="A778" s="19" t="s">
        <v>3414</v>
      </c>
    </row>
    <row r="779" spans="1:1" x14ac:dyDescent="0.25">
      <c r="A779" s="19" t="s">
        <v>3415</v>
      </c>
    </row>
    <row r="780" spans="1:1" x14ac:dyDescent="0.25">
      <c r="A780" s="19" t="s">
        <v>3416</v>
      </c>
    </row>
    <row r="781" spans="1:1" x14ac:dyDescent="0.25">
      <c r="A781" s="19" t="s">
        <v>3417</v>
      </c>
    </row>
    <row r="782" spans="1:1" x14ac:dyDescent="0.25">
      <c r="A782" s="19" t="s">
        <v>3418</v>
      </c>
    </row>
    <row r="783" spans="1:1" x14ac:dyDescent="0.25">
      <c r="A783" s="19" t="s">
        <v>3419</v>
      </c>
    </row>
    <row r="784" spans="1:1" x14ac:dyDescent="0.25">
      <c r="A784" s="19" t="s">
        <v>3420</v>
      </c>
    </row>
    <row r="785" spans="1:1" x14ac:dyDescent="0.25">
      <c r="A785" s="19" t="s">
        <v>3421</v>
      </c>
    </row>
    <row r="786" spans="1:1" x14ac:dyDescent="0.25">
      <c r="A786" s="19" t="s">
        <v>3422</v>
      </c>
    </row>
    <row r="787" spans="1:1" x14ac:dyDescent="0.25">
      <c r="A787" s="19" t="s">
        <v>3423</v>
      </c>
    </row>
    <row r="788" spans="1:1" x14ac:dyDescent="0.25">
      <c r="A788" s="19" t="s">
        <v>3424</v>
      </c>
    </row>
    <row r="789" spans="1:1" x14ac:dyDescent="0.25">
      <c r="A789" s="19" t="s">
        <v>3425</v>
      </c>
    </row>
    <row r="790" spans="1:1" x14ac:dyDescent="0.25">
      <c r="A790" s="19" t="s">
        <v>3426</v>
      </c>
    </row>
    <row r="791" spans="1:1" x14ac:dyDescent="0.25">
      <c r="A791" s="19" t="s">
        <v>3427</v>
      </c>
    </row>
    <row r="792" spans="1:1" x14ac:dyDescent="0.25">
      <c r="A792" s="19" t="s">
        <v>3428</v>
      </c>
    </row>
    <row r="793" spans="1:1" x14ac:dyDescent="0.25">
      <c r="A793" s="19" t="s">
        <v>3429</v>
      </c>
    </row>
    <row r="794" spans="1:1" x14ac:dyDescent="0.25">
      <c r="A794" s="19" t="s">
        <v>3430</v>
      </c>
    </row>
    <row r="795" spans="1:1" x14ac:dyDescent="0.25">
      <c r="A795" s="19" t="s">
        <v>3431</v>
      </c>
    </row>
    <row r="796" spans="1:1" x14ac:dyDescent="0.25">
      <c r="A796" s="19" t="s">
        <v>3432</v>
      </c>
    </row>
    <row r="797" spans="1:1" x14ac:dyDescent="0.25">
      <c r="A797" s="19" t="s">
        <v>3433</v>
      </c>
    </row>
    <row r="798" spans="1:1" x14ac:dyDescent="0.25">
      <c r="A798" s="19" t="s">
        <v>3434</v>
      </c>
    </row>
    <row r="799" spans="1:1" x14ac:dyDescent="0.25">
      <c r="A799" s="19" t="s">
        <v>3435</v>
      </c>
    </row>
    <row r="800" spans="1:1" x14ac:dyDescent="0.25">
      <c r="A800" s="19" t="s">
        <v>3436</v>
      </c>
    </row>
    <row r="801" spans="1:1" x14ac:dyDescent="0.25">
      <c r="A801" s="19" t="s">
        <v>3437</v>
      </c>
    </row>
    <row r="802" spans="1:1" x14ac:dyDescent="0.25">
      <c r="A802" s="19" t="s">
        <v>3438</v>
      </c>
    </row>
    <row r="803" spans="1:1" x14ac:dyDescent="0.25">
      <c r="A803" s="19" t="s">
        <v>3439</v>
      </c>
    </row>
    <row r="804" spans="1:1" x14ac:dyDescent="0.25">
      <c r="A804" s="19" t="s">
        <v>3440</v>
      </c>
    </row>
    <row r="805" spans="1:1" x14ac:dyDescent="0.25">
      <c r="A805" s="19" t="s">
        <v>3440</v>
      </c>
    </row>
    <row r="806" spans="1:1" x14ac:dyDescent="0.25">
      <c r="A806" s="19" t="s">
        <v>3441</v>
      </c>
    </row>
    <row r="807" spans="1:1" x14ac:dyDescent="0.25">
      <c r="A807" s="19" t="s">
        <v>3442</v>
      </c>
    </row>
    <row r="808" spans="1:1" x14ac:dyDescent="0.25">
      <c r="A808" s="19" t="s">
        <v>3443</v>
      </c>
    </row>
    <row r="809" spans="1:1" x14ac:dyDescent="0.25">
      <c r="A809" s="19" t="s">
        <v>3444</v>
      </c>
    </row>
    <row r="810" spans="1:1" x14ac:dyDescent="0.25">
      <c r="A810" s="19" t="s">
        <v>3445</v>
      </c>
    </row>
    <row r="811" spans="1:1" x14ac:dyDescent="0.25">
      <c r="A811" s="19" t="s">
        <v>3446</v>
      </c>
    </row>
    <row r="812" spans="1:1" x14ac:dyDescent="0.25">
      <c r="A812" s="19" t="s">
        <v>3447</v>
      </c>
    </row>
    <row r="813" spans="1:1" x14ac:dyDescent="0.25">
      <c r="A813" s="19" t="s">
        <v>3448</v>
      </c>
    </row>
    <row r="814" spans="1:1" x14ac:dyDescent="0.25">
      <c r="A814" s="19" t="s">
        <v>3449</v>
      </c>
    </row>
    <row r="815" spans="1:1" x14ac:dyDescent="0.25">
      <c r="A815" s="19" t="s">
        <v>3450</v>
      </c>
    </row>
    <row r="816" spans="1:1" x14ac:dyDescent="0.25">
      <c r="A816" s="19" t="s">
        <v>3451</v>
      </c>
    </row>
    <row r="817" spans="1:1" x14ac:dyDescent="0.25">
      <c r="A817" s="19" t="s">
        <v>3452</v>
      </c>
    </row>
    <row r="818" spans="1:1" x14ac:dyDescent="0.25">
      <c r="A818" s="19" t="s">
        <v>3453</v>
      </c>
    </row>
    <row r="819" spans="1:1" x14ac:dyDescent="0.25">
      <c r="A819" s="19" t="s">
        <v>3454</v>
      </c>
    </row>
    <row r="820" spans="1:1" x14ac:dyDescent="0.25">
      <c r="A820" s="19" t="s">
        <v>3455</v>
      </c>
    </row>
    <row r="821" spans="1:1" x14ac:dyDescent="0.25">
      <c r="A821" s="19" t="s">
        <v>3456</v>
      </c>
    </row>
    <row r="822" spans="1:1" x14ac:dyDescent="0.25">
      <c r="A822" s="19" t="s">
        <v>3457</v>
      </c>
    </row>
    <row r="823" spans="1:1" x14ac:dyDescent="0.25">
      <c r="A823" s="19" t="s">
        <v>3458</v>
      </c>
    </row>
    <row r="824" spans="1:1" x14ac:dyDescent="0.25">
      <c r="A824" s="19" t="s">
        <v>3459</v>
      </c>
    </row>
    <row r="825" spans="1:1" x14ac:dyDescent="0.25">
      <c r="A825" s="19" t="s">
        <v>3460</v>
      </c>
    </row>
    <row r="826" spans="1:1" x14ac:dyDescent="0.25">
      <c r="A826" s="19" t="s">
        <v>3461</v>
      </c>
    </row>
    <row r="827" spans="1:1" x14ac:dyDescent="0.25">
      <c r="A827" s="19" t="s">
        <v>3462</v>
      </c>
    </row>
    <row r="828" spans="1:1" x14ac:dyDescent="0.25">
      <c r="A828" s="19" t="s">
        <v>3463</v>
      </c>
    </row>
    <row r="829" spans="1:1" x14ac:dyDescent="0.25">
      <c r="A829" s="19" t="s">
        <v>3464</v>
      </c>
    </row>
    <row r="830" spans="1:1" x14ac:dyDescent="0.25">
      <c r="A830" s="19" t="s">
        <v>3465</v>
      </c>
    </row>
    <row r="831" spans="1:1" x14ac:dyDescent="0.25">
      <c r="A831" s="19" t="s">
        <v>3466</v>
      </c>
    </row>
    <row r="832" spans="1:1" x14ac:dyDescent="0.25">
      <c r="A832" s="19" t="s">
        <v>3467</v>
      </c>
    </row>
    <row r="833" spans="1:1" x14ac:dyDescent="0.25">
      <c r="A833" s="19" t="s">
        <v>3468</v>
      </c>
    </row>
    <row r="834" spans="1:1" x14ac:dyDescent="0.25">
      <c r="A834" s="19" t="s">
        <v>3469</v>
      </c>
    </row>
    <row r="835" spans="1:1" x14ac:dyDescent="0.25">
      <c r="A835" s="19" t="s">
        <v>3470</v>
      </c>
    </row>
    <row r="836" spans="1:1" x14ac:dyDescent="0.25">
      <c r="A836" s="19" t="s">
        <v>3471</v>
      </c>
    </row>
    <row r="837" spans="1:1" x14ac:dyDescent="0.25">
      <c r="A837" s="19" t="s">
        <v>3472</v>
      </c>
    </row>
    <row r="838" spans="1:1" x14ac:dyDescent="0.25">
      <c r="A838" s="19" t="s">
        <v>3473</v>
      </c>
    </row>
    <row r="839" spans="1:1" x14ac:dyDescent="0.25">
      <c r="A839" s="19" t="s">
        <v>3474</v>
      </c>
    </row>
    <row r="840" spans="1:1" x14ac:dyDescent="0.25">
      <c r="A840" s="19" t="s">
        <v>3475</v>
      </c>
    </row>
    <row r="841" spans="1:1" x14ac:dyDescent="0.25">
      <c r="A841" s="19" t="s">
        <v>3476</v>
      </c>
    </row>
    <row r="842" spans="1:1" x14ac:dyDescent="0.25">
      <c r="A842" s="19" t="s">
        <v>3477</v>
      </c>
    </row>
    <row r="843" spans="1:1" x14ac:dyDescent="0.25">
      <c r="A843" s="19" t="s">
        <v>3478</v>
      </c>
    </row>
    <row r="844" spans="1:1" x14ac:dyDescent="0.25">
      <c r="A844" s="19" t="s">
        <v>3479</v>
      </c>
    </row>
    <row r="845" spans="1:1" x14ac:dyDescent="0.25">
      <c r="A845" s="19" t="s">
        <v>3480</v>
      </c>
    </row>
    <row r="846" spans="1:1" x14ac:dyDescent="0.25">
      <c r="A846" s="19" t="s">
        <v>3481</v>
      </c>
    </row>
    <row r="847" spans="1:1" x14ac:dyDescent="0.25">
      <c r="A847" s="19" t="s">
        <v>3482</v>
      </c>
    </row>
    <row r="848" spans="1:1" x14ac:dyDescent="0.25">
      <c r="A848" s="19" t="s">
        <v>3483</v>
      </c>
    </row>
    <row r="849" spans="1:1" x14ac:dyDescent="0.25">
      <c r="A849" s="19" t="s">
        <v>3484</v>
      </c>
    </row>
    <row r="850" spans="1:1" x14ac:dyDescent="0.25">
      <c r="A850" s="19" t="s">
        <v>3485</v>
      </c>
    </row>
    <row r="851" spans="1:1" x14ac:dyDescent="0.25">
      <c r="A851" s="19" t="s">
        <v>3486</v>
      </c>
    </row>
    <row r="852" spans="1:1" x14ac:dyDescent="0.25">
      <c r="A852" s="19" t="s">
        <v>3487</v>
      </c>
    </row>
    <row r="853" spans="1:1" x14ac:dyDescent="0.25">
      <c r="A853" s="19" t="s">
        <v>3488</v>
      </c>
    </row>
    <row r="854" spans="1:1" x14ac:dyDescent="0.25">
      <c r="A854" s="19" t="s">
        <v>3489</v>
      </c>
    </row>
    <row r="855" spans="1:1" x14ac:dyDescent="0.25">
      <c r="A855" s="19" t="s">
        <v>3490</v>
      </c>
    </row>
    <row r="856" spans="1:1" x14ac:dyDescent="0.25">
      <c r="A856" s="19" t="s">
        <v>3491</v>
      </c>
    </row>
    <row r="857" spans="1:1" x14ac:dyDescent="0.25">
      <c r="A857" s="19" t="s">
        <v>3492</v>
      </c>
    </row>
    <row r="858" spans="1:1" x14ac:dyDescent="0.25">
      <c r="A858" s="19" t="s">
        <v>3493</v>
      </c>
    </row>
    <row r="859" spans="1:1" x14ac:dyDescent="0.25">
      <c r="A859" s="19" t="s">
        <v>3494</v>
      </c>
    </row>
    <row r="860" spans="1:1" x14ac:dyDescent="0.25">
      <c r="A860" s="19" t="s">
        <v>3495</v>
      </c>
    </row>
    <row r="861" spans="1:1" x14ac:dyDescent="0.25">
      <c r="A861" s="19" t="s">
        <v>3496</v>
      </c>
    </row>
    <row r="862" spans="1:1" x14ac:dyDescent="0.25">
      <c r="A862" s="19" t="s">
        <v>3497</v>
      </c>
    </row>
    <row r="863" spans="1:1" x14ac:dyDescent="0.25">
      <c r="A863" s="19" t="s">
        <v>3498</v>
      </c>
    </row>
    <row r="864" spans="1:1" x14ac:dyDescent="0.25">
      <c r="A864" s="19" t="s">
        <v>3499</v>
      </c>
    </row>
    <row r="865" spans="1:1" x14ac:dyDescent="0.25">
      <c r="A865" s="19" t="s">
        <v>3500</v>
      </c>
    </row>
    <row r="866" spans="1:1" x14ac:dyDescent="0.25">
      <c r="A866" s="19" t="s">
        <v>3501</v>
      </c>
    </row>
    <row r="867" spans="1:1" x14ac:dyDescent="0.25">
      <c r="A867" s="19" t="s">
        <v>3502</v>
      </c>
    </row>
    <row r="868" spans="1:1" x14ac:dyDescent="0.25">
      <c r="A868" s="19" t="s">
        <v>3502</v>
      </c>
    </row>
    <row r="869" spans="1:1" x14ac:dyDescent="0.25">
      <c r="A869" s="19" t="s">
        <v>3503</v>
      </c>
    </row>
    <row r="870" spans="1:1" x14ac:dyDescent="0.25">
      <c r="A870" s="19" t="s">
        <v>3504</v>
      </c>
    </row>
    <row r="871" spans="1:1" x14ac:dyDescent="0.25">
      <c r="A871" s="19" t="s">
        <v>3505</v>
      </c>
    </row>
    <row r="872" spans="1:1" x14ac:dyDescent="0.25">
      <c r="A872" s="19" t="s">
        <v>3506</v>
      </c>
    </row>
    <row r="873" spans="1:1" x14ac:dyDescent="0.25">
      <c r="A873" s="19" t="s">
        <v>3507</v>
      </c>
    </row>
    <row r="874" spans="1:1" x14ac:dyDescent="0.25">
      <c r="A874" s="19" t="s">
        <v>3508</v>
      </c>
    </row>
    <row r="875" spans="1:1" x14ac:dyDescent="0.25">
      <c r="A875" s="19" t="s">
        <v>3509</v>
      </c>
    </row>
    <row r="876" spans="1:1" x14ac:dyDescent="0.25">
      <c r="A876" s="19" t="s">
        <v>3510</v>
      </c>
    </row>
    <row r="877" spans="1:1" x14ac:dyDescent="0.25">
      <c r="A877" s="19" t="s">
        <v>3511</v>
      </c>
    </row>
    <row r="878" spans="1:1" x14ac:dyDescent="0.25">
      <c r="A878" s="19" t="s">
        <v>3512</v>
      </c>
    </row>
    <row r="879" spans="1:1" x14ac:dyDescent="0.25">
      <c r="A879" s="19" t="s">
        <v>3513</v>
      </c>
    </row>
    <row r="880" spans="1:1" x14ac:dyDescent="0.25">
      <c r="A880" s="19" t="s">
        <v>3514</v>
      </c>
    </row>
    <row r="881" spans="1:1" x14ac:dyDescent="0.25">
      <c r="A881" s="19" t="s">
        <v>3515</v>
      </c>
    </row>
    <row r="882" spans="1:1" x14ac:dyDescent="0.25">
      <c r="A882" s="19" t="s">
        <v>3516</v>
      </c>
    </row>
    <row r="883" spans="1:1" x14ac:dyDescent="0.25">
      <c r="A883" s="19" t="s">
        <v>3516</v>
      </c>
    </row>
    <row r="884" spans="1:1" x14ac:dyDescent="0.25">
      <c r="A884" s="19" t="s">
        <v>3517</v>
      </c>
    </row>
    <row r="885" spans="1:1" x14ac:dyDescent="0.25">
      <c r="A885" s="19" t="s">
        <v>3518</v>
      </c>
    </row>
    <row r="886" spans="1:1" x14ac:dyDescent="0.25">
      <c r="A886" s="19" t="s">
        <v>3519</v>
      </c>
    </row>
    <row r="887" spans="1:1" x14ac:dyDescent="0.25">
      <c r="A887" s="19" t="s">
        <v>3520</v>
      </c>
    </row>
    <row r="888" spans="1:1" x14ac:dyDescent="0.25">
      <c r="A888" s="19" t="s">
        <v>3521</v>
      </c>
    </row>
    <row r="889" spans="1:1" x14ac:dyDescent="0.25">
      <c r="A889" s="19" t="s">
        <v>3522</v>
      </c>
    </row>
    <row r="890" spans="1:1" x14ac:dyDescent="0.25">
      <c r="A890" s="19" t="s">
        <v>3523</v>
      </c>
    </row>
    <row r="891" spans="1:1" x14ac:dyDescent="0.25">
      <c r="A891" s="19" t="s">
        <v>3524</v>
      </c>
    </row>
    <row r="892" spans="1:1" x14ac:dyDescent="0.25">
      <c r="A892" s="19" t="s">
        <v>3525</v>
      </c>
    </row>
    <row r="893" spans="1:1" x14ac:dyDescent="0.25">
      <c r="A893" s="19" t="s">
        <v>3526</v>
      </c>
    </row>
    <row r="894" spans="1:1" x14ac:dyDescent="0.25">
      <c r="A894" s="19" t="s">
        <v>3527</v>
      </c>
    </row>
    <row r="895" spans="1:1" x14ac:dyDescent="0.25">
      <c r="A895" s="19" t="s">
        <v>3528</v>
      </c>
    </row>
    <row r="896" spans="1:1" x14ac:dyDescent="0.25">
      <c r="A896" s="19" t="s">
        <v>3529</v>
      </c>
    </row>
    <row r="897" spans="1:1" x14ac:dyDescent="0.25">
      <c r="A897" s="19" t="s">
        <v>3530</v>
      </c>
    </row>
    <row r="898" spans="1:1" x14ac:dyDescent="0.25">
      <c r="A898" s="19" t="s">
        <v>3531</v>
      </c>
    </row>
    <row r="899" spans="1:1" x14ac:dyDescent="0.25">
      <c r="A899" s="19" t="s">
        <v>3532</v>
      </c>
    </row>
    <row r="900" spans="1:1" x14ac:dyDescent="0.25">
      <c r="A900" s="19" t="s">
        <v>3533</v>
      </c>
    </row>
    <row r="901" spans="1:1" x14ac:dyDescent="0.25">
      <c r="A901" s="19" t="s">
        <v>3534</v>
      </c>
    </row>
    <row r="902" spans="1:1" x14ac:dyDescent="0.25">
      <c r="A902" s="19" t="s">
        <v>3535</v>
      </c>
    </row>
    <row r="903" spans="1:1" x14ac:dyDescent="0.25">
      <c r="A903" s="19" t="s">
        <v>3536</v>
      </c>
    </row>
    <row r="904" spans="1:1" x14ac:dyDescent="0.25">
      <c r="A904" s="19" t="s">
        <v>3537</v>
      </c>
    </row>
    <row r="905" spans="1:1" x14ac:dyDescent="0.25">
      <c r="A905" s="19" t="s">
        <v>3538</v>
      </c>
    </row>
    <row r="906" spans="1:1" x14ac:dyDescent="0.25">
      <c r="A906" s="19" t="s">
        <v>3539</v>
      </c>
    </row>
    <row r="907" spans="1:1" x14ac:dyDescent="0.25">
      <c r="A907" s="19" t="s">
        <v>3540</v>
      </c>
    </row>
    <row r="908" spans="1:1" x14ac:dyDescent="0.25">
      <c r="A908" s="19" t="s">
        <v>3541</v>
      </c>
    </row>
    <row r="909" spans="1:1" x14ac:dyDescent="0.25">
      <c r="A909" s="19" t="s">
        <v>3542</v>
      </c>
    </row>
    <row r="910" spans="1:1" x14ac:dyDescent="0.25">
      <c r="A910" s="19" t="s">
        <v>3543</v>
      </c>
    </row>
    <row r="911" spans="1:1" x14ac:dyDescent="0.25">
      <c r="A911" s="19" t="s">
        <v>3544</v>
      </c>
    </row>
    <row r="912" spans="1:1" x14ac:dyDescent="0.25">
      <c r="A912" s="19" t="s">
        <v>3545</v>
      </c>
    </row>
    <row r="913" spans="1:1" x14ac:dyDescent="0.25">
      <c r="A913" s="19" t="s">
        <v>3546</v>
      </c>
    </row>
    <row r="914" spans="1:1" x14ac:dyDescent="0.25">
      <c r="A914" s="19" t="s">
        <v>3547</v>
      </c>
    </row>
    <row r="915" spans="1:1" x14ac:dyDescent="0.25">
      <c r="A915" s="19" t="s">
        <v>3548</v>
      </c>
    </row>
    <row r="916" spans="1:1" x14ac:dyDescent="0.25">
      <c r="A916" s="19" t="s">
        <v>3549</v>
      </c>
    </row>
    <row r="917" spans="1:1" x14ac:dyDescent="0.25">
      <c r="A917" s="19" t="s">
        <v>3550</v>
      </c>
    </row>
    <row r="918" spans="1:1" x14ac:dyDescent="0.25">
      <c r="A918" s="19" t="s">
        <v>3551</v>
      </c>
    </row>
    <row r="919" spans="1:1" x14ac:dyDescent="0.25">
      <c r="A919" s="19" t="s">
        <v>3552</v>
      </c>
    </row>
    <row r="920" spans="1:1" x14ac:dyDescent="0.25">
      <c r="A920" s="19" t="s">
        <v>3553</v>
      </c>
    </row>
    <row r="921" spans="1:1" x14ac:dyDescent="0.25">
      <c r="A921" s="19" t="s">
        <v>3554</v>
      </c>
    </row>
    <row r="922" spans="1:1" x14ac:dyDescent="0.25">
      <c r="A922" s="19" t="s">
        <v>3555</v>
      </c>
    </row>
    <row r="923" spans="1:1" x14ac:dyDescent="0.25">
      <c r="A923" s="19" t="s">
        <v>3556</v>
      </c>
    </row>
    <row r="924" spans="1:1" x14ac:dyDescent="0.25">
      <c r="A924" s="19" t="s">
        <v>3557</v>
      </c>
    </row>
    <row r="925" spans="1:1" x14ac:dyDescent="0.25">
      <c r="A925" s="19" t="s">
        <v>3558</v>
      </c>
    </row>
    <row r="926" spans="1:1" x14ac:dyDescent="0.25">
      <c r="A926" s="19" t="s">
        <v>3559</v>
      </c>
    </row>
    <row r="927" spans="1:1" x14ac:dyDescent="0.25">
      <c r="A927" s="19" t="s">
        <v>3560</v>
      </c>
    </row>
    <row r="928" spans="1:1" x14ac:dyDescent="0.25">
      <c r="A928" s="19" t="s">
        <v>3561</v>
      </c>
    </row>
    <row r="929" spans="1:1" x14ac:dyDescent="0.25">
      <c r="A929" s="19" t="s">
        <v>3562</v>
      </c>
    </row>
    <row r="930" spans="1:1" x14ac:dyDescent="0.25">
      <c r="A930" s="19" t="s">
        <v>3563</v>
      </c>
    </row>
    <row r="931" spans="1:1" x14ac:dyDescent="0.25">
      <c r="A931" s="19" t="s">
        <v>3564</v>
      </c>
    </row>
    <row r="932" spans="1:1" x14ac:dyDescent="0.25">
      <c r="A932" s="19" t="s">
        <v>3565</v>
      </c>
    </row>
    <row r="933" spans="1:1" x14ac:dyDescent="0.25">
      <c r="A933" s="19" t="s">
        <v>3566</v>
      </c>
    </row>
    <row r="934" spans="1:1" x14ac:dyDescent="0.25">
      <c r="A934" s="19" t="s">
        <v>3567</v>
      </c>
    </row>
    <row r="935" spans="1:1" x14ac:dyDescent="0.25">
      <c r="A935" s="19" t="s">
        <v>3568</v>
      </c>
    </row>
    <row r="936" spans="1:1" x14ac:dyDescent="0.25">
      <c r="A936" s="19" t="s">
        <v>3569</v>
      </c>
    </row>
    <row r="937" spans="1:1" x14ac:dyDescent="0.25">
      <c r="A937" s="19" t="s">
        <v>3570</v>
      </c>
    </row>
    <row r="938" spans="1:1" x14ac:dyDescent="0.25">
      <c r="A938" s="19" t="s">
        <v>3571</v>
      </c>
    </row>
    <row r="939" spans="1:1" x14ac:dyDescent="0.25">
      <c r="A939" s="19" t="s">
        <v>3572</v>
      </c>
    </row>
    <row r="940" spans="1:1" x14ac:dyDescent="0.25">
      <c r="A940" s="19" t="s">
        <v>3573</v>
      </c>
    </row>
    <row r="941" spans="1:1" x14ac:dyDescent="0.25">
      <c r="A941" s="19" t="s">
        <v>3574</v>
      </c>
    </row>
    <row r="942" spans="1:1" x14ac:dyDescent="0.25">
      <c r="A942" s="19" t="s">
        <v>3575</v>
      </c>
    </row>
    <row r="943" spans="1:1" x14ac:dyDescent="0.25">
      <c r="A943" s="19" t="s">
        <v>3576</v>
      </c>
    </row>
    <row r="944" spans="1:1" x14ac:dyDescent="0.25">
      <c r="A944" s="19" t="s">
        <v>3577</v>
      </c>
    </row>
    <row r="945" spans="1:1" x14ac:dyDescent="0.25">
      <c r="A945" s="19" t="s">
        <v>3578</v>
      </c>
    </row>
    <row r="946" spans="1:1" x14ac:dyDescent="0.25">
      <c r="A946" s="19" t="s">
        <v>3579</v>
      </c>
    </row>
    <row r="947" spans="1:1" x14ac:dyDescent="0.25">
      <c r="A947" s="19" t="s">
        <v>3580</v>
      </c>
    </row>
    <row r="948" spans="1:1" x14ac:dyDescent="0.25">
      <c r="A948" s="19" t="s">
        <v>3581</v>
      </c>
    </row>
    <row r="949" spans="1:1" x14ac:dyDescent="0.25">
      <c r="A949" s="19" t="s">
        <v>3582</v>
      </c>
    </row>
    <row r="950" spans="1:1" x14ac:dyDescent="0.25">
      <c r="A950" s="19" t="s">
        <v>3583</v>
      </c>
    </row>
    <row r="951" spans="1:1" x14ac:dyDescent="0.25">
      <c r="A951" s="19" t="s">
        <v>3584</v>
      </c>
    </row>
    <row r="952" spans="1:1" x14ac:dyDescent="0.25">
      <c r="A952" s="19" t="s">
        <v>3585</v>
      </c>
    </row>
    <row r="953" spans="1:1" x14ac:dyDescent="0.25">
      <c r="A953" s="19" t="s">
        <v>3586</v>
      </c>
    </row>
    <row r="954" spans="1:1" x14ac:dyDescent="0.25">
      <c r="A954" s="19" t="s">
        <v>3587</v>
      </c>
    </row>
    <row r="955" spans="1:1" x14ac:dyDescent="0.25">
      <c r="A955" s="19" t="s">
        <v>3588</v>
      </c>
    </row>
    <row r="956" spans="1:1" x14ac:dyDescent="0.25">
      <c r="A956" s="19" t="s">
        <v>3589</v>
      </c>
    </row>
    <row r="957" spans="1:1" x14ac:dyDescent="0.25">
      <c r="A957" s="19" t="s">
        <v>3590</v>
      </c>
    </row>
    <row r="958" spans="1:1" x14ac:dyDescent="0.25">
      <c r="A958" s="19" t="s">
        <v>3591</v>
      </c>
    </row>
    <row r="959" spans="1:1" x14ac:dyDescent="0.25">
      <c r="A959" s="19" t="s">
        <v>3592</v>
      </c>
    </row>
    <row r="960" spans="1:1" x14ac:dyDescent="0.25">
      <c r="A960" s="19" t="s">
        <v>3593</v>
      </c>
    </row>
    <row r="961" spans="1:1" x14ac:dyDescent="0.25">
      <c r="A961" s="19" t="s">
        <v>3594</v>
      </c>
    </row>
    <row r="962" spans="1:1" x14ac:dyDescent="0.25">
      <c r="A962" s="19" t="s">
        <v>3595</v>
      </c>
    </row>
    <row r="963" spans="1:1" x14ac:dyDescent="0.25">
      <c r="A963" s="19" t="s">
        <v>3596</v>
      </c>
    </row>
    <row r="964" spans="1:1" x14ac:dyDescent="0.25">
      <c r="A964" s="19" t="s">
        <v>3597</v>
      </c>
    </row>
    <row r="965" spans="1:1" x14ac:dyDescent="0.25">
      <c r="A965" s="19" t="s">
        <v>3598</v>
      </c>
    </row>
    <row r="966" spans="1:1" x14ac:dyDescent="0.25">
      <c r="A966" s="19" t="s">
        <v>3599</v>
      </c>
    </row>
    <row r="967" spans="1:1" x14ac:dyDescent="0.25">
      <c r="A967" s="19" t="s">
        <v>3600</v>
      </c>
    </row>
    <row r="968" spans="1:1" x14ac:dyDescent="0.25">
      <c r="A968" s="19" t="s">
        <v>3601</v>
      </c>
    </row>
    <row r="969" spans="1:1" x14ac:dyDescent="0.25">
      <c r="A969" s="19" t="s">
        <v>3602</v>
      </c>
    </row>
    <row r="970" spans="1:1" x14ac:dyDescent="0.25">
      <c r="A970" s="19" t="s">
        <v>3603</v>
      </c>
    </row>
    <row r="971" spans="1:1" x14ac:dyDescent="0.25">
      <c r="A971" s="19" t="s">
        <v>3604</v>
      </c>
    </row>
    <row r="972" spans="1:1" x14ac:dyDescent="0.25">
      <c r="A972" s="19" t="s">
        <v>3605</v>
      </c>
    </row>
    <row r="973" spans="1:1" x14ac:dyDescent="0.25">
      <c r="A973" s="19" t="s">
        <v>3606</v>
      </c>
    </row>
    <row r="974" spans="1:1" x14ac:dyDescent="0.25">
      <c r="A974" s="19" t="s">
        <v>3607</v>
      </c>
    </row>
    <row r="975" spans="1:1" x14ac:dyDescent="0.25">
      <c r="A975" s="19" t="s">
        <v>3608</v>
      </c>
    </row>
    <row r="976" spans="1:1" x14ac:dyDescent="0.25">
      <c r="A976" s="19" t="s">
        <v>3609</v>
      </c>
    </row>
    <row r="977" spans="1:1" x14ac:dyDescent="0.25">
      <c r="A977" s="19" t="s">
        <v>3610</v>
      </c>
    </row>
    <row r="978" spans="1:1" x14ac:dyDescent="0.25">
      <c r="A978" s="19" t="s">
        <v>3611</v>
      </c>
    </row>
    <row r="979" spans="1:1" x14ac:dyDescent="0.25">
      <c r="A979" s="19" t="s">
        <v>3612</v>
      </c>
    </row>
    <row r="980" spans="1:1" x14ac:dyDescent="0.25">
      <c r="A980" s="19" t="s">
        <v>3613</v>
      </c>
    </row>
    <row r="981" spans="1:1" x14ac:dyDescent="0.25">
      <c r="A981" s="19" t="s">
        <v>3614</v>
      </c>
    </row>
    <row r="982" spans="1:1" x14ac:dyDescent="0.25">
      <c r="A982" s="19" t="s">
        <v>3615</v>
      </c>
    </row>
    <row r="983" spans="1:1" x14ac:dyDescent="0.25">
      <c r="A983" s="19" t="s">
        <v>3616</v>
      </c>
    </row>
    <row r="984" spans="1:1" x14ac:dyDescent="0.25">
      <c r="A984" s="19" t="s">
        <v>3617</v>
      </c>
    </row>
    <row r="985" spans="1:1" x14ac:dyDescent="0.25">
      <c r="A985" s="19" t="s">
        <v>3618</v>
      </c>
    </row>
    <row r="986" spans="1:1" x14ac:dyDescent="0.25">
      <c r="A986" s="19" t="s">
        <v>3619</v>
      </c>
    </row>
    <row r="987" spans="1:1" x14ac:dyDescent="0.25">
      <c r="A987" s="19" t="s">
        <v>3620</v>
      </c>
    </row>
    <row r="988" spans="1:1" x14ac:dyDescent="0.25">
      <c r="A988" s="19" t="s">
        <v>3621</v>
      </c>
    </row>
    <row r="989" spans="1:1" x14ac:dyDescent="0.25">
      <c r="A989" s="19" t="s">
        <v>3622</v>
      </c>
    </row>
    <row r="990" spans="1:1" x14ac:dyDescent="0.25">
      <c r="A990" s="19" t="s">
        <v>3623</v>
      </c>
    </row>
    <row r="991" spans="1:1" x14ac:dyDescent="0.25">
      <c r="A991" s="19" t="s">
        <v>3624</v>
      </c>
    </row>
    <row r="992" spans="1:1" x14ac:dyDescent="0.25">
      <c r="A992" s="19" t="s">
        <v>3625</v>
      </c>
    </row>
    <row r="993" spans="1:1" x14ac:dyDescent="0.25">
      <c r="A993" s="19" t="s">
        <v>3626</v>
      </c>
    </row>
    <row r="994" spans="1:1" x14ac:dyDescent="0.25">
      <c r="A994" s="19" t="s">
        <v>3627</v>
      </c>
    </row>
    <row r="995" spans="1:1" x14ac:dyDescent="0.25">
      <c r="A995" s="19" t="s">
        <v>3628</v>
      </c>
    </row>
    <row r="996" spans="1:1" x14ac:dyDescent="0.25">
      <c r="A996" s="19" t="s">
        <v>3629</v>
      </c>
    </row>
    <row r="997" spans="1:1" x14ac:dyDescent="0.25">
      <c r="A997" s="19" t="s">
        <v>3630</v>
      </c>
    </row>
    <row r="998" spans="1:1" x14ac:dyDescent="0.25">
      <c r="A998" s="19" t="s">
        <v>3631</v>
      </c>
    </row>
    <row r="999" spans="1:1" x14ac:dyDescent="0.25">
      <c r="A999" s="19" t="s">
        <v>3632</v>
      </c>
    </row>
    <row r="1000" spans="1:1" x14ac:dyDescent="0.25">
      <c r="A1000" s="19" t="s">
        <v>3633</v>
      </c>
    </row>
    <row r="1001" spans="1:1" x14ac:dyDescent="0.25">
      <c r="A1001" s="19" t="s">
        <v>3634</v>
      </c>
    </row>
    <row r="1002" spans="1:1" x14ac:dyDescent="0.25">
      <c r="A1002" s="19" t="s">
        <v>3635</v>
      </c>
    </row>
    <row r="1003" spans="1:1" x14ac:dyDescent="0.25">
      <c r="A1003" s="19" t="s">
        <v>3636</v>
      </c>
    </row>
    <row r="1004" spans="1:1" x14ac:dyDescent="0.25">
      <c r="A1004" s="19" t="s">
        <v>3637</v>
      </c>
    </row>
    <row r="1005" spans="1:1" x14ac:dyDescent="0.25">
      <c r="A1005" s="19" t="s">
        <v>3638</v>
      </c>
    </row>
    <row r="1006" spans="1:1" x14ac:dyDescent="0.25">
      <c r="A1006" s="19" t="s">
        <v>3639</v>
      </c>
    </row>
    <row r="1007" spans="1:1" x14ac:dyDescent="0.25">
      <c r="A1007" s="19" t="s">
        <v>3640</v>
      </c>
    </row>
    <row r="1008" spans="1:1" x14ac:dyDescent="0.25">
      <c r="A1008" s="19" t="s">
        <v>3641</v>
      </c>
    </row>
    <row r="1009" spans="1:1" x14ac:dyDescent="0.25">
      <c r="A1009" s="19" t="s">
        <v>3642</v>
      </c>
    </row>
    <row r="1010" spans="1:1" x14ac:dyDescent="0.25">
      <c r="A1010" s="19" t="s">
        <v>3643</v>
      </c>
    </row>
    <row r="1011" spans="1:1" x14ac:dyDescent="0.25">
      <c r="A1011" s="19" t="s">
        <v>3644</v>
      </c>
    </row>
    <row r="1012" spans="1:1" x14ac:dyDescent="0.25">
      <c r="A1012" s="19" t="s">
        <v>3645</v>
      </c>
    </row>
    <row r="1013" spans="1:1" x14ac:dyDescent="0.25">
      <c r="A1013" s="19" t="s">
        <v>3646</v>
      </c>
    </row>
    <row r="1014" spans="1:1" x14ac:dyDescent="0.25">
      <c r="A1014" s="19" t="s">
        <v>3647</v>
      </c>
    </row>
    <row r="1015" spans="1:1" x14ac:dyDescent="0.25">
      <c r="A1015" s="19" t="s">
        <v>3648</v>
      </c>
    </row>
    <row r="1016" spans="1:1" x14ac:dyDescent="0.25">
      <c r="A1016" s="19" t="s">
        <v>3649</v>
      </c>
    </row>
    <row r="1017" spans="1:1" x14ac:dyDescent="0.25">
      <c r="A1017" s="19" t="s">
        <v>3650</v>
      </c>
    </row>
    <row r="1018" spans="1:1" x14ac:dyDescent="0.25">
      <c r="A1018" s="19" t="s">
        <v>3651</v>
      </c>
    </row>
    <row r="1019" spans="1:1" x14ac:dyDescent="0.25">
      <c r="A1019" s="19" t="s">
        <v>3652</v>
      </c>
    </row>
    <row r="1020" spans="1:1" x14ac:dyDescent="0.25">
      <c r="A1020" s="19" t="s">
        <v>3653</v>
      </c>
    </row>
    <row r="1021" spans="1:1" x14ac:dyDescent="0.25">
      <c r="A1021" s="19" t="s">
        <v>3654</v>
      </c>
    </row>
    <row r="1022" spans="1:1" x14ac:dyDescent="0.25">
      <c r="A1022" s="19" t="s">
        <v>3655</v>
      </c>
    </row>
    <row r="1023" spans="1:1" x14ac:dyDescent="0.25">
      <c r="A1023" s="19" t="s">
        <v>3656</v>
      </c>
    </row>
    <row r="1024" spans="1:1" x14ac:dyDescent="0.25">
      <c r="A1024" s="19" t="s">
        <v>3657</v>
      </c>
    </row>
    <row r="1025" spans="1:1" x14ac:dyDescent="0.25">
      <c r="A1025" s="19" t="s">
        <v>3658</v>
      </c>
    </row>
    <row r="1026" spans="1:1" x14ac:dyDescent="0.25">
      <c r="A1026" s="19" t="s">
        <v>3659</v>
      </c>
    </row>
    <row r="1027" spans="1:1" x14ac:dyDescent="0.25">
      <c r="A1027" s="19" t="s">
        <v>3660</v>
      </c>
    </row>
    <row r="1028" spans="1:1" x14ac:dyDescent="0.25">
      <c r="A1028" s="19" t="s">
        <v>3661</v>
      </c>
    </row>
    <row r="1029" spans="1:1" x14ac:dyDescent="0.25">
      <c r="A1029" s="19" t="s">
        <v>3662</v>
      </c>
    </row>
    <row r="1030" spans="1:1" x14ac:dyDescent="0.25">
      <c r="A1030" s="19" t="s">
        <v>3663</v>
      </c>
    </row>
    <row r="1031" spans="1:1" x14ac:dyDescent="0.25">
      <c r="A1031" s="19" t="s">
        <v>3664</v>
      </c>
    </row>
    <row r="1032" spans="1:1" x14ac:dyDescent="0.25">
      <c r="A1032" s="19" t="s">
        <v>3665</v>
      </c>
    </row>
    <row r="1033" spans="1:1" x14ac:dyDescent="0.25">
      <c r="A1033" s="19" t="s">
        <v>3666</v>
      </c>
    </row>
    <row r="1034" spans="1:1" x14ac:dyDescent="0.25">
      <c r="A1034" s="19" t="s">
        <v>3667</v>
      </c>
    </row>
    <row r="1035" spans="1:1" x14ac:dyDescent="0.25">
      <c r="A1035" s="19" t="s">
        <v>3668</v>
      </c>
    </row>
    <row r="1036" spans="1:1" x14ac:dyDescent="0.25">
      <c r="A1036" s="19" t="s">
        <v>3669</v>
      </c>
    </row>
    <row r="1037" spans="1:1" x14ac:dyDescent="0.25">
      <c r="A1037" s="19" t="s">
        <v>3669</v>
      </c>
    </row>
    <row r="1038" spans="1:1" x14ac:dyDescent="0.25">
      <c r="A1038" s="19" t="s">
        <v>3670</v>
      </c>
    </row>
    <row r="1039" spans="1:1" x14ac:dyDescent="0.25">
      <c r="A1039" s="19" t="s">
        <v>3671</v>
      </c>
    </row>
    <row r="1040" spans="1:1" x14ac:dyDescent="0.25">
      <c r="A1040" s="19" t="s">
        <v>3672</v>
      </c>
    </row>
    <row r="1041" spans="1:1" x14ac:dyDescent="0.25">
      <c r="A1041" s="19" t="s">
        <v>3673</v>
      </c>
    </row>
    <row r="1042" spans="1:1" x14ac:dyDescent="0.25">
      <c r="A1042" s="19" t="s">
        <v>3674</v>
      </c>
    </row>
    <row r="1043" spans="1:1" x14ac:dyDescent="0.25">
      <c r="A1043" s="19" t="s">
        <v>3675</v>
      </c>
    </row>
    <row r="1044" spans="1:1" x14ac:dyDescent="0.25">
      <c r="A1044" s="19" t="s">
        <v>3676</v>
      </c>
    </row>
    <row r="1045" spans="1:1" x14ac:dyDescent="0.25">
      <c r="A1045" s="19" t="s">
        <v>3677</v>
      </c>
    </row>
    <row r="1046" spans="1:1" x14ac:dyDescent="0.25">
      <c r="A1046" s="19" t="s">
        <v>3678</v>
      </c>
    </row>
    <row r="1047" spans="1:1" x14ac:dyDescent="0.25">
      <c r="A1047" s="19" t="s">
        <v>3679</v>
      </c>
    </row>
    <row r="1048" spans="1:1" x14ac:dyDescent="0.25">
      <c r="A1048" s="19" t="s">
        <v>3680</v>
      </c>
    </row>
    <row r="1049" spans="1:1" x14ac:dyDescent="0.25">
      <c r="A1049" s="19" t="s">
        <v>3681</v>
      </c>
    </row>
    <row r="1050" spans="1:1" x14ac:dyDescent="0.25">
      <c r="A1050" s="19" t="s">
        <v>3682</v>
      </c>
    </row>
    <row r="1051" spans="1:1" x14ac:dyDescent="0.25">
      <c r="A1051" s="19" t="s">
        <v>3683</v>
      </c>
    </row>
    <row r="1052" spans="1:1" x14ac:dyDescent="0.25">
      <c r="A1052" s="19" t="s">
        <v>3684</v>
      </c>
    </row>
    <row r="1053" spans="1:1" x14ac:dyDescent="0.25">
      <c r="A1053" s="19" t="s">
        <v>3685</v>
      </c>
    </row>
    <row r="1054" spans="1:1" x14ac:dyDescent="0.25">
      <c r="A1054" s="19" t="s">
        <v>3686</v>
      </c>
    </row>
    <row r="1055" spans="1:1" x14ac:dyDescent="0.25">
      <c r="A1055" s="19" t="s">
        <v>3687</v>
      </c>
    </row>
    <row r="1056" spans="1:1" x14ac:dyDescent="0.25">
      <c r="A1056" s="19" t="s">
        <v>3688</v>
      </c>
    </row>
    <row r="1057" spans="1:1" x14ac:dyDescent="0.25">
      <c r="A1057" s="19" t="s">
        <v>3689</v>
      </c>
    </row>
    <row r="1058" spans="1:1" x14ac:dyDescent="0.25">
      <c r="A1058" s="19" t="s">
        <v>3689</v>
      </c>
    </row>
    <row r="1059" spans="1:1" x14ac:dyDescent="0.25">
      <c r="A1059" s="19" t="s">
        <v>3690</v>
      </c>
    </row>
    <row r="1060" spans="1:1" x14ac:dyDescent="0.25">
      <c r="A1060" s="19" t="s">
        <v>3691</v>
      </c>
    </row>
    <row r="1061" spans="1:1" x14ac:dyDescent="0.25">
      <c r="A1061" s="19" t="s">
        <v>3692</v>
      </c>
    </row>
    <row r="1062" spans="1:1" x14ac:dyDescent="0.25">
      <c r="A1062" s="19" t="s">
        <v>3693</v>
      </c>
    </row>
    <row r="1063" spans="1:1" x14ac:dyDescent="0.25">
      <c r="A1063" s="19" t="s">
        <v>3694</v>
      </c>
    </row>
    <row r="1064" spans="1:1" x14ac:dyDescent="0.25">
      <c r="A1064" s="19" t="s">
        <v>3695</v>
      </c>
    </row>
    <row r="1065" spans="1:1" x14ac:dyDescent="0.25">
      <c r="A1065" s="19" t="s">
        <v>3696</v>
      </c>
    </row>
    <row r="1066" spans="1:1" x14ac:dyDescent="0.25">
      <c r="A1066" s="19" t="s">
        <v>3697</v>
      </c>
    </row>
    <row r="1067" spans="1:1" x14ac:dyDescent="0.25">
      <c r="A1067" s="19" t="s">
        <v>3698</v>
      </c>
    </row>
    <row r="1068" spans="1:1" x14ac:dyDescent="0.25">
      <c r="A1068" s="19" t="s">
        <v>3699</v>
      </c>
    </row>
    <row r="1069" spans="1:1" x14ac:dyDescent="0.25">
      <c r="A1069" s="19" t="s">
        <v>3700</v>
      </c>
    </row>
    <row r="1070" spans="1:1" x14ac:dyDescent="0.25">
      <c r="A1070" s="19" t="s">
        <v>3701</v>
      </c>
    </row>
    <row r="1071" spans="1:1" x14ac:dyDescent="0.25">
      <c r="A1071" s="19" t="s">
        <v>3702</v>
      </c>
    </row>
    <row r="1072" spans="1:1" x14ac:dyDescent="0.25">
      <c r="A1072" s="19" t="s">
        <v>3703</v>
      </c>
    </row>
    <row r="1073" spans="1:1" x14ac:dyDescent="0.25">
      <c r="A1073" s="19" t="s">
        <v>3704</v>
      </c>
    </row>
    <row r="1074" spans="1:1" x14ac:dyDescent="0.25">
      <c r="A1074" s="19" t="s">
        <v>3705</v>
      </c>
    </row>
    <row r="1075" spans="1:1" x14ac:dyDescent="0.25">
      <c r="A1075" s="19" t="s">
        <v>3706</v>
      </c>
    </row>
    <row r="1076" spans="1:1" x14ac:dyDescent="0.25">
      <c r="A1076" s="19" t="s">
        <v>3707</v>
      </c>
    </row>
    <row r="1077" spans="1:1" x14ac:dyDescent="0.25">
      <c r="A1077" s="19" t="s">
        <v>3708</v>
      </c>
    </row>
    <row r="1078" spans="1:1" x14ac:dyDescent="0.25">
      <c r="A1078" s="19" t="s">
        <v>3709</v>
      </c>
    </row>
    <row r="1079" spans="1:1" x14ac:dyDescent="0.25">
      <c r="A1079" s="19" t="s">
        <v>3710</v>
      </c>
    </row>
    <row r="1080" spans="1:1" x14ac:dyDescent="0.25">
      <c r="A1080" s="19" t="s">
        <v>3711</v>
      </c>
    </row>
    <row r="1081" spans="1:1" x14ac:dyDescent="0.25">
      <c r="A1081" s="19" t="s">
        <v>3712</v>
      </c>
    </row>
    <row r="1082" spans="1:1" x14ac:dyDescent="0.25">
      <c r="A1082" s="19" t="s">
        <v>3713</v>
      </c>
    </row>
    <row r="1083" spans="1:1" x14ac:dyDescent="0.25">
      <c r="A1083" s="19" t="s">
        <v>3714</v>
      </c>
    </row>
    <row r="1084" spans="1:1" x14ac:dyDescent="0.25">
      <c r="A1084" s="19" t="s">
        <v>3715</v>
      </c>
    </row>
    <row r="1085" spans="1:1" x14ac:dyDescent="0.25">
      <c r="A1085" s="19" t="s">
        <v>3716</v>
      </c>
    </row>
    <row r="1086" spans="1:1" x14ac:dyDescent="0.25">
      <c r="A1086" s="19" t="s">
        <v>3717</v>
      </c>
    </row>
    <row r="1087" spans="1:1" x14ac:dyDescent="0.25">
      <c r="A1087" s="19" t="s">
        <v>3718</v>
      </c>
    </row>
    <row r="1088" spans="1:1" x14ac:dyDescent="0.25">
      <c r="A1088" s="19" t="s">
        <v>3719</v>
      </c>
    </row>
    <row r="1089" spans="1:1" x14ac:dyDescent="0.25">
      <c r="A1089" s="19" t="s">
        <v>3720</v>
      </c>
    </row>
    <row r="1090" spans="1:1" x14ac:dyDescent="0.25">
      <c r="A1090" s="19" t="s">
        <v>3721</v>
      </c>
    </row>
    <row r="1091" spans="1:1" x14ac:dyDescent="0.25">
      <c r="A1091" s="19" t="s">
        <v>3722</v>
      </c>
    </row>
    <row r="1092" spans="1:1" x14ac:dyDescent="0.25">
      <c r="A1092" s="19" t="s">
        <v>3723</v>
      </c>
    </row>
    <row r="1093" spans="1:1" x14ac:dyDescent="0.25">
      <c r="A1093" s="19" t="s">
        <v>3724</v>
      </c>
    </row>
    <row r="1094" spans="1:1" x14ac:dyDescent="0.25">
      <c r="A1094" s="19" t="s">
        <v>3725</v>
      </c>
    </row>
    <row r="1095" spans="1:1" x14ac:dyDescent="0.25">
      <c r="A1095" s="19" t="s">
        <v>3726</v>
      </c>
    </row>
    <row r="1096" spans="1:1" x14ac:dyDescent="0.25">
      <c r="A1096" s="19" t="s">
        <v>3727</v>
      </c>
    </row>
    <row r="1097" spans="1:1" x14ac:dyDescent="0.25">
      <c r="A1097" s="19" t="s">
        <v>3728</v>
      </c>
    </row>
    <row r="1098" spans="1:1" x14ac:dyDescent="0.25">
      <c r="A1098" s="19" t="s">
        <v>3729</v>
      </c>
    </row>
    <row r="1099" spans="1:1" x14ac:dyDescent="0.25">
      <c r="A1099" s="19" t="s">
        <v>3730</v>
      </c>
    </row>
    <row r="1100" spans="1:1" x14ac:dyDescent="0.25">
      <c r="A1100" s="19" t="s">
        <v>3731</v>
      </c>
    </row>
    <row r="1101" spans="1:1" x14ac:dyDescent="0.25">
      <c r="A1101" s="19" t="s">
        <v>3732</v>
      </c>
    </row>
    <row r="1102" spans="1:1" x14ac:dyDescent="0.25">
      <c r="A1102" s="19" t="s">
        <v>3733</v>
      </c>
    </row>
    <row r="1103" spans="1:1" x14ac:dyDescent="0.25">
      <c r="A1103" s="19" t="s">
        <v>3734</v>
      </c>
    </row>
    <row r="1104" spans="1:1" x14ac:dyDescent="0.25">
      <c r="A1104" s="19" t="s">
        <v>3735</v>
      </c>
    </row>
    <row r="1105" spans="1:1" x14ac:dyDescent="0.25">
      <c r="A1105" s="19" t="s">
        <v>3736</v>
      </c>
    </row>
    <row r="1106" spans="1:1" x14ac:dyDescent="0.25">
      <c r="A1106" s="19" t="s">
        <v>3737</v>
      </c>
    </row>
    <row r="1107" spans="1:1" x14ac:dyDescent="0.25">
      <c r="A1107" s="19" t="s">
        <v>3738</v>
      </c>
    </row>
    <row r="1108" spans="1:1" x14ac:dyDescent="0.25">
      <c r="A1108" s="19" t="s">
        <v>3739</v>
      </c>
    </row>
    <row r="1109" spans="1:1" x14ac:dyDescent="0.25">
      <c r="A1109" s="19" t="s">
        <v>3740</v>
      </c>
    </row>
    <row r="1110" spans="1:1" x14ac:dyDescent="0.25">
      <c r="A1110" s="19" t="s">
        <v>3741</v>
      </c>
    </row>
    <row r="1111" spans="1:1" x14ac:dyDescent="0.25">
      <c r="A1111" s="19" t="s">
        <v>3742</v>
      </c>
    </row>
    <row r="1112" spans="1:1" x14ac:dyDescent="0.25">
      <c r="A1112" s="19" t="s">
        <v>3743</v>
      </c>
    </row>
    <row r="1113" spans="1:1" x14ac:dyDescent="0.25">
      <c r="A1113" s="19" t="s">
        <v>3744</v>
      </c>
    </row>
    <row r="1114" spans="1:1" x14ac:dyDescent="0.25">
      <c r="A1114" s="19" t="s">
        <v>3745</v>
      </c>
    </row>
    <row r="1115" spans="1:1" x14ac:dyDescent="0.25">
      <c r="A1115" s="19" t="s">
        <v>3746</v>
      </c>
    </row>
    <row r="1116" spans="1:1" x14ac:dyDescent="0.25">
      <c r="A1116" s="19" t="s">
        <v>3747</v>
      </c>
    </row>
    <row r="1117" spans="1:1" x14ac:dyDescent="0.25">
      <c r="A1117" s="19" t="s">
        <v>3748</v>
      </c>
    </row>
    <row r="1118" spans="1:1" x14ac:dyDescent="0.25">
      <c r="A1118" s="19" t="s">
        <v>3749</v>
      </c>
    </row>
    <row r="1119" spans="1:1" x14ac:dyDescent="0.25">
      <c r="A1119" s="19" t="s">
        <v>3750</v>
      </c>
    </row>
    <row r="1120" spans="1:1" x14ac:dyDescent="0.25">
      <c r="A1120" s="19" t="s">
        <v>3751</v>
      </c>
    </row>
    <row r="1121" spans="1:1" x14ac:dyDescent="0.25">
      <c r="A1121" s="19" t="s">
        <v>3752</v>
      </c>
    </row>
    <row r="1122" spans="1:1" x14ac:dyDescent="0.25">
      <c r="A1122" s="19" t="s">
        <v>3753</v>
      </c>
    </row>
    <row r="1123" spans="1:1" x14ac:dyDescent="0.25">
      <c r="A1123" s="19" t="s">
        <v>3753</v>
      </c>
    </row>
    <row r="1124" spans="1:1" x14ac:dyDescent="0.25">
      <c r="A1124" s="19" t="s">
        <v>3754</v>
      </c>
    </row>
    <row r="1125" spans="1:1" x14ac:dyDescent="0.25">
      <c r="A1125" s="19" t="s">
        <v>3755</v>
      </c>
    </row>
    <row r="1126" spans="1:1" x14ac:dyDescent="0.25">
      <c r="A1126" s="19" t="s">
        <v>3756</v>
      </c>
    </row>
    <row r="1127" spans="1:1" x14ac:dyDescent="0.25">
      <c r="A1127" s="19" t="s">
        <v>3757</v>
      </c>
    </row>
    <row r="1128" spans="1:1" x14ac:dyDescent="0.25">
      <c r="A1128" s="19" t="s">
        <v>3758</v>
      </c>
    </row>
    <row r="1129" spans="1:1" x14ac:dyDescent="0.25">
      <c r="A1129" s="19" t="s">
        <v>3759</v>
      </c>
    </row>
    <row r="1130" spans="1:1" x14ac:dyDescent="0.25">
      <c r="A1130" s="19" t="s">
        <v>3760</v>
      </c>
    </row>
    <row r="1131" spans="1:1" x14ac:dyDescent="0.25">
      <c r="A1131" s="19" t="s">
        <v>3761</v>
      </c>
    </row>
    <row r="1132" spans="1:1" x14ac:dyDescent="0.25">
      <c r="A1132" s="19" t="s">
        <v>3762</v>
      </c>
    </row>
    <row r="1133" spans="1:1" x14ac:dyDescent="0.25">
      <c r="A1133" s="19" t="s">
        <v>3763</v>
      </c>
    </row>
    <row r="1134" spans="1:1" x14ac:dyDescent="0.25">
      <c r="A1134" s="19" t="s">
        <v>3764</v>
      </c>
    </row>
    <row r="1135" spans="1:1" x14ac:dyDescent="0.25">
      <c r="A1135" s="19" t="s">
        <v>3765</v>
      </c>
    </row>
    <row r="1136" spans="1:1" x14ac:dyDescent="0.25">
      <c r="A1136" s="19" t="s">
        <v>3766</v>
      </c>
    </row>
    <row r="1137" spans="1:1" x14ac:dyDescent="0.25">
      <c r="A1137" s="19" t="s">
        <v>3767</v>
      </c>
    </row>
    <row r="1138" spans="1:1" x14ac:dyDescent="0.25">
      <c r="A1138" s="19" t="s">
        <v>3768</v>
      </c>
    </row>
    <row r="1139" spans="1:1" x14ac:dyDescent="0.25">
      <c r="A1139" s="19" t="s">
        <v>3769</v>
      </c>
    </row>
    <row r="1140" spans="1:1" x14ac:dyDescent="0.25">
      <c r="A1140" s="19" t="s">
        <v>3770</v>
      </c>
    </row>
    <row r="1141" spans="1:1" x14ac:dyDescent="0.25">
      <c r="A1141" s="19" t="s">
        <v>3771</v>
      </c>
    </row>
    <row r="1142" spans="1:1" x14ac:dyDescent="0.25">
      <c r="A1142" s="19" t="s">
        <v>3772</v>
      </c>
    </row>
    <row r="1143" spans="1:1" x14ac:dyDescent="0.25">
      <c r="A1143" s="19" t="s">
        <v>3773</v>
      </c>
    </row>
    <row r="1144" spans="1:1" x14ac:dyDescent="0.25">
      <c r="A1144" s="19" t="s">
        <v>3774</v>
      </c>
    </row>
    <row r="1145" spans="1:1" x14ac:dyDescent="0.25">
      <c r="A1145" s="19" t="s">
        <v>3775</v>
      </c>
    </row>
    <row r="1146" spans="1:1" x14ac:dyDescent="0.25">
      <c r="A1146" s="19" t="s">
        <v>3776</v>
      </c>
    </row>
    <row r="1147" spans="1:1" x14ac:dyDescent="0.25">
      <c r="A1147" s="19" t="s">
        <v>3777</v>
      </c>
    </row>
    <row r="1148" spans="1:1" x14ac:dyDescent="0.25">
      <c r="A1148" s="19" t="s">
        <v>3778</v>
      </c>
    </row>
    <row r="1149" spans="1:1" x14ac:dyDescent="0.25">
      <c r="A1149" s="19" t="s">
        <v>3779</v>
      </c>
    </row>
    <row r="1150" spans="1:1" x14ac:dyDescent="0.25">
      <c r="A1150" s="19" t="s">
        <v>3780</v>
      </c>
    </row>
    <row r="1151" spans="1:1" x14ac:dyDescent="0.25">
      <c r="A1151" s="19" t="s">
        <v>3781</v>
      </c>
    </row>
    <row r="1152" spans="1:1" x14ac:dyDescent="0.25">
      <c r="A1152" s="19" t="s">
        <v>3782</v>
      </c>
    </row>
    <row r="1153" spans="1:1" x14ac:dyDescent="0.25">
      <c r="A1153" s="19" t="s">
        <v>3783</v>
      </c>
    </row>
    <row r="1154" spans="1:1" x14ac:dyDescent="0.25">
      <c r="A1154" s="19" t="s">
        <v>3784</v>
      </c>
    </row>
    <row r="1155" spans="1:1" x14ac:dyDescent="0.25">
      <c r="A1155" s="19" t="s">
        <v>3785</v>
      </c>
    </row>
    <row r="1156" spans="1:1" x14ac:dyDescent="0.25">
      <c r="A1156" s="19" t="s">
        <v>3786</v>
      </c>
    </row>
    <row r="1157" spans="1:1" x14ac:dyDescent="0.25">
      <c r="A1157" s="19" t="s">
        <v>3787</v>
      </c>
    </row>
    <row r="1158" spans="1:1" x14ac:dyDescent="0.25">
      <c r="A1158" s="19" t="s">
        <v>3788</v>
      </c>
    </row>
    <row r="1159" spans="1:1" x14ac:dyDescent="0.25">
      <c r="A1159" s="19" t="s">
        <v>3789</v>
      </c>
    </row>
    <row r="1160" spans="1:1" x14ac:dyDescent="0.25">
      <c r="A1160" s="19" t="s">
        <v>3790</v>
      </c>
    </row>
    <row r="1161" spans="1:1" x14ac:dyDescent="0.25">
      <c r="A1161" s="19" t="s">
        <v>3791</v>
      </c>
    </row>
    <row r="1162" spans="1:1" x14ac:dyDescent="0.25">
      <c r="A1162" s="19" t="s">
        <v>3792</v>
      </c>
    </row>
    <row r="1163" spans="1:1" x14ac:dyDescent="0.25">
      <c r="A1163" s="19" t="s">
        <v>3793</v>
      </c>
    </row>
    <row r="1164" spans="1:1" x14ac:dyDescent="0.25">
      <c r="A1164" s="19" t="s">
        <v>3794</v>
      </c>
    </row>
    <row r="1165" spans="1:1" x14ac:dyDescent="0.25">
      <c r="A1165" s="19" t="s">
        <v>3795</v>
      </c>
    </row>
    <row r="1166" spans="1:1" x14ac:dyDescent="0.25">
      <c r="A1166" s="19" t="s">
        <v>3796</v>
      </c>
    </row>
    <row r="1167" spans="1:1" x14ac:dyDescent="0.25">
      <c r="A1167" s="19" t="s">
        <v>3797</v>
      </c>
    </row>
    <row r="1168" spans="1:1" x14ac:dyDescent="0.25">
      <c r="A1168" s="19" t="s">
        <v>3798</v>
      </c>
    </row>
    <row r="1169" spans="1:1" x14ac:dyDescent="0.25">
      <c r="A1169" s="19" t="s">
        <v>3799</v>
      </c>
    </row>
    <row r="1170" spans="1:1" x14ac:dyDescent="0.25">
      <c r="A1170" s="19" t="s">
        <v>3800</v>
      </c>
    </row>
    <row r="1171" spans="1:1" x14ac:dyDescent="0.25">
      <c r="A1171" s="19" t="s">
        <v>3801</v>
      </c>
    </row>
    <row r="1172" spans="1:1" x14ac:dyDescent="0.25">
      <c r="A1172" s="19" t="s">
        <v>3802</v>
      </c>
    </row>
    <row r="1173" spans="1:1" x14ac:dyDescent="0.25">
      <c r="A1173" s="19" t="s">
        <v>3803</v>
      </c>
    </row>
    <row r="1174" spans="1:1" x14ac:dyDescent="0.25">
      <c r="A1174" s="19" t="s">
        <v>3804</v>
      </c>
    </row>
    <row r="1175" spans="1:1" x14ac:dyDescent="0.25">
      <c r="A1175" s="19" t="s">
        <v>3805</v>
      </c>
    </row>
    <row r="1176" spans="1:1" x14ac:dyDescent="0.25">
      <c r="A1176" s="19" t="s">
        <v>3806</v>
      </c>
    </row>
    <row r="1177" spans="1:1" x14ac:dyDescent="0.25">
      <c r="A1177" s="19" t="s">
        <v>3807</v>
      </c>
    </row>
    <row r="1178" spans="1:1" x14ac:dyDescent="0.25">
      <c r="A1178" s="19" t="s">
        <v>3808</v>
      </c>
    </row>
    <row r="1179" spans="1:1" x14ac:dyDescent="0.25">
      <c r="A1179" s="19" t="s">
        <v>3809</v>
      </c>
    </row>
    <row r="1180" spans="1:1" x14ac:dyDescent="0.25">
      <c r="A1180" s="19" t="s">
        <v>3810</v>
      </c>
    </row>
    <row r="1181" spans="1:1" x14ac:dyDescent="0.25">
      <c r="A1181" s="19" t="s">
        <v>3811</v>
      </c>
    </row>
    <row r="1182" spans="1:1" x14ac:dyDescent="0.25">
      <c r="A1182" s="19" t="s">
        <v>3812</v>
      </c>
    </row>
    <row r="1183" spans="1:1" x14ac:dyDescent="0.25">
      <c r="A1183" s="19" t="s">
        <v>3813</v>
      </c>
    </row>
    <row r="1184" spans="1:1" x14ac:dyDescent="0.25">
      <c r="A1184" s="19" t="s">
        <v>3814</v>
      </c>
    </row>
    <row r="1185" spans="1:1" x14ac:dyDescent="0.25">
      <c r="A1185" s="19" t="s">
        <v>3815</v>
      </c>
    </row>
    <row r="1186" spans="1:1" x14ac:dyDescent="0.25">
      <c r="A1186" s="19" t="s">
        <v>3816</v>
      </c>
    </row>
    <row r="1187" spans="1:1" x14ac:dyDescent="0.25">
      <c r="A1187" s="19" t="s">
        <v>3817</v>
      </c>
    </row>
    <row r="1188" spans="1:1" x14ac:dyDescent="0.25">
      <c r="A1188" s="19" t="s">
        <v>3818</v>
      </c>
    </row>
    <row r="1189" spans="1:1" x14ac:dyDescent="0.25">
      <c r="A1189" s="19" t="s">
        <v>3819</v>
      </c>
    </row>
    <row r="1190" spans="1:1" x14ac:dyDescent="0.25">
      <c r="A1190" s="19" t="s">
        <v>3820</v>
      </c>
    </row>
    <row r="1191" spans="1:1" x14ac:dyDescent="0.25">
      <c r="A1191" s="19" t="s">
        <v>3821</v>
      </c>
    </row>
    <row r="1192" spans="1:1" x14ac:dyDescent="0.25">
      <c r="A1192" s="19" t="s">
        <v>3822</v>
      </c>
    </row>
    <row r="1193" spans="1:1" x14ac:dyDescent="0.25">
      <c r="A1193" s="19" t="s">
        <v>3823</v>
      </c>
    </row>
    <row r="1194" spans="1:1" x14ac:dyDescent="0.25">
      <c r="A1194" s="19" t="s">
        <v>3824</v>
      </c>
    </row>
    <row r="1195" spans="1:1" x14ac:dyDescent="0.25">
      <c r="A1195" s="19" t="s">
        <v>3825</v>
      </c>
    </row>
    <row r="1196" spans="1:1" x14ac:dyDescent="0.25">
      <c r="A1196" s="19" t="s">
        <v>3826</v>
      </c>
    </row>
    <row r="1197" spans="1:1" x14ac:dyDescent="0.25">
      <c r="A1197" s="19" t="s">
        <v>3827</v>
      </c>
    </row>
    <row r="1198" spans="1:1" x14ac:dyDescent="0.25">
      <c r="A1198" s="19" t="s">
        <v>3828</v>
      </c>
    </row>
    <row r="1199" spans="1:1" x14ac:dyDescent="0.25">
      <c r="A1199" s="19" t="s">
        <v>3829</v>
      </c>
    </row>
    <row r="1200" spans="1:1" x14ac:dyDescent="0.25">
      <c r="A1200" s="19" t="s">
        <v>3830</v>
      </c>
    </row>
    <row r="1201" spans="1:1" x14ac:dyDescent="0.25">
      <c r="A1201" s="19" t="s">
        <v>3831</v>
      </c>
    </row>
    <row r="1202" spans="1:1" x14ac:dyDescent="0.25">
      <c r="A1202" s="19" t="s">
        <v>3832</v>
      </c>
    </row>
    <row r="1203" spans="1:1" x14ac:dyDescent="0.25">
      <c r="A1203" s="19" t="s">
        <v>3833</v>
      </c>
    </row>
    <row r="1204" spans="1:1" x14ac:dyDescent="0.25">
      <c r="A1204" s="19" t="s">
        <v>3834</v>
      </c>
    </row>
    <row r="1205" spans="1:1" x14ac:dyDescent="0.25">
      <c r="A1205" s="19" t="s">
        <v>3835</v>
      </c>
    </row>
    <row r="1206" spans="1:1" x14ac:dyDescent="0.25">
      <c r="A1206" s="19" t="s">
        <v>3836</v>
      </c>
    </row>
    <row r="1207" spans="1:1" x14ac:dyDescent="0.25">
      <c r="A1207" s="19" t="s">
        <v>3837</v>
      </c>
    </row>
    <row r="1208" spans="1:1" x14ac:dyDescent="0.25">
      <c r="A1208" s="19" t="s">
        <v>3838</v>
      </c>
    </row>
    <row r="1209" spans="1:1" x14ac:dyDescent="0.25">
      <c r="A1209" s="19" t="s">
        <v>3839</v>
      </c>
    </row>
    <row r="1210" spans="1:1" x14ac:dyDescent="0.25">
      <c r="A1210" s="19" t="s">
        <v>3840</v>
      </c>
    </row>
    <row r="1211" spans="1:1" x14ac:dyDescent="0.25">
      <c r="A1211" s="19" t="s">
        <v>3841</v>
      </c>
    </row>
    <row r="1212" spans="1:1" x14ac:dyDescent="0.25">
      <c r="A1212" s="19" t="s">
        <v>3842</v>
      </c>
    </row>
    <row r="1213" spans="1:1" x14ac:dyDescent="0.25">
      <c r="A1213" s="19" t="s">
        <v>3843</v>
      </c>
    </row>
    <row r="1214" spans="1:1" x14ac:dyDescent="0.25">
      <c r="A1214" s="19" t="s">
        <v>3844</v>
      </c>
    </row>
    <row r="1215" spans="1:1" x14ac:dyDescent="0.25">
      <c r="A1215" s="19" t="s">
        <v>3845</v>
      </c>
    </row>
    <row r="1216" spans="1:1" x14ac:dyDescent="0.25">
      <c r="A1216" s="19" t="s">
        <v>3846</v>
      </c>
    </row>
    <row r="1217" spans="1:1" x14ac:dyDescent="0.25">
      <c r="A1217" s="19" t="s">
        <v>3847</v>
      </c>
    </row>
    <row r="1218" spans="1:1" x14ac:dyDescent="0.25">
      <c r="A1218" s="19" t="s">
        <v>3848</v>
      </c>
    </row>
    <row r="1219" spans="1:1" x14ac:dyDescent="0.25">
      <c r="A1219" s="19" t="s">
        <v>3848</v>
      </c>
    </row>
    <row r="1220" spans="1:1" x14ac:dyDescent="0.25">
      <c r="A1220" s="19" t="s">
        <v>3849</v>
      </c>
    </row>
    <row r="1221" spans="1:1" x14ac:dyDescent="0.25">
      <c r="A1221" s="19" t="s">
        <v>3850</v>
      </c>
    </row>
    <row r="1222" spans="1:1" x14ac:dyDescent="0.25">
      <c r="A1222" s="19" t="s">
        <v>3851</v>
      </c>
    </row>
    <row r="1223" spans="1:1" x14ac:dyDescent="0.25">
      <c r="A1223" s="19" t="s">
        <v>3852</v>
      </c>
    </row>
    <row r="1224" spans="1:1" x14ac:dyDescent="0.25">
      <c r="A1224" s="19" t="s">
        <v>3853</v>
      </c>
    </row>
    <row r="1225" spans="1:1" x14ac:dyDescent="0.25">
      <c r="A1225" s="19" t="s">
        <v>3854</v>
      </c>
    </row>
    <row r="1226" spans="1:1" x14ac:dyDescent="0.25">
      <c r="A1226" s="19" t="s">
        <v>3855</v>
      </c>
    </row>
    <row r="1227" spans="1:1" x14ac:dyDescent="0.25">
      <c r="A1227" s="19" t="s">
        <v>3856</v>
      </c>
    </row>
    <row r="1228" spans="1:1" x14ac:dyDescent="0.25">
      <c r="A1228" s="19" t="s">
        <v>3857</v>
      </c>
    </row>
    <row r="1229" spans="1:1" x14ac:dyDescent="0.25">
      <c r="A1229" s="19" t="s">
        <v>3858</v>
      </c>
    </row>
    <row r="1230" spans="1:1" x14ac:dyDescent="0.25">
      <c r="A1230" s="19" t="s">
        <v>3859</v>
      </c>
    </row>
    <row r="1231" spans="1:1" x14ac:dyDescent="0.25">
      <c r="A1231" s="19" t="s">
        <v>3860</v>
      </c>
    </row>
    <row r="1232" spans="1:1" x14ac:dyDescent="0.25">
      <c r="A1232" s="19" t="s">
        <v>3861</v>
      </c>
    </row>
    <row r="1233" spans="1:1" x14ac:dyDescent="0.25">
      <c r="A1233" s="19" t="s">
        <v>3862</v>
      </c>
    </row>
    <row r="1234" spans="1:1" x14ac:dyDescent="0.25">
      <c r="A1234" s="19" t="s">
        <v>3863</v>
      </c>
    </row>
    <row r="1235" spans="1:1" x14ac:dyDescent="0.25">
      <c r="A1235" s="19" t="s">
        <v>3864</v>
      </c>
    </row>
    <row r="1236" spans="1:1" x14ac:dyDescent="0.25">
      <c r="A1236" s="19" t="s">
        <v>3865</v>
      </c>
    </row>
    <row r="1237" spans="1:1" x14ac:dyDescent="0.25">
      <c r="A1237" s="19" t="s">
        <v>3866</v>
      </c>
    </row>
    <row r="1238" spans="1:1" x14ac:dyDescent="0.25">
      <c r="A1238" s="19" t="s">
        <v>3867</v>
      </c>
    </row>
    <row r="1239" spans="1:1" x14ac:dyDescent="0.25">
      <c r="A1239" s="19" t="s">
        <v>3868</v>
      </c>
    </row>
    <row r="1240" spans="1:1" x14ac:dyDescent="0.25">
      <c r="A1240" s="19" t="s">
        <v>3869</v>
      </c>
    </row>
    <row r="1241" spans="1:1" x14ac:dyDescent="0.25">
      <c r="A1241" s="19" t="s">
        <v>3870</v>
      </c>
    </row>
    <row r="1242" spans="1:1" x14ac:dyDescent="0.25">
      <c r="A1242" s="19" t="s">
        <v>3871</v>
      </c>
    </row>
    <row r="1243" spans="1:1" x14ac:dyDescent="0.25">
      <c r="A1243" s="19" t="s">
        <v>3872</v>
      </c>
    </row>
    <row r="1244" spans="1:1" x14ac:dyDescent="0.25">
      <c r="A1244" s="19" t="s">
        <v>3873</v>
      </c>
    </row>
    <row r="1245" spans="1:1" x14ac:dyDescent="0.25">
      <c r="A1245" s="19" t="s">
        <v>3874</v>
      </c>
    </row>
    <row r="1246" spans="1:1" x14ac:dyDescent="0.25">
      <c r="A1246" s="19" t="s">
        <v>3875</v>
      </c>
    </row>
    <row r="1247" spans="1:1" x14ac:dyDescent="0.25">
      <c r="A1247" s="19" t="s">
        <v>3876</v>
      </c>
    </row>
    <row r="1248" spans="1:1" x14ac:dyDescent="0.25">
      <c r="A1248" s="19" t="s">
        <v>3877</v>
      </c>
    </row>
    <row r="1249" spans="1:1" x14ac:dyDescent="0.25">
      <c r="A1249" s="19" t="s">
        <v>3878</v>
      </c>
    </row>
    <row r="1250" spans="1:1" x14ac:dyDescent="0.25">
      <c r="A1250" s="19" t="s">
        <v>3879</v>
      </c>
    </row>
    <row r="1251" spans="1:1" x14ac:dyDescent="0.25">
      <c r="A1251" s="19" t="s">
        <v>3880</v>
      </c>
    </row>
    <row r="1252" spans="1:1" x14ac:dyDescent="0.25">
      <c r="A1252" s="19" t="s">
        <v>3881</v>
      </c>
    </row>
    <row r="1253" spans="1:1" x14ac:dyDescent="0.25">
      <c r="A1253" s="19" t="s">
        <v>3882</v>
      </c>
    </row>
    <row r="1254" spans="1:1" x14ac:dyDescent="0.25">
      <c r="A1254" s="19" t="s">
        <v>3883</v>
      </c>
    </row>
    <row r="1255" spans="1:1" x14ac:dyDescent="0.25">
      <c r="A1255" s="19" t="s">
        <v>3884</v>
      </c>
    </row>
    <row r="1256" spans="1:1" x14ac:dyDescent="0.25">
      <c r="A1256" s="19" t="s">
        <v>3885</v>
      </c>
    </row>
    <row r="1257" spans="1:1" x14ac:dyDescent="0.25">
      <c r="A1257" s="19" t="s">
        <v>3886</v>
      </c>
    </row>
    <row r="1258" spans="1:1" x14ac:dyDescent="0.25">
      <c r="A1258" s="19" t="s">
        <v>3887</v>
      </c>
    </row>
    <row r="1259" spans="1:1" x14ac:dyDescent="0.25">
      <c r="A1259" s="19" t="s">
        <v>3888</v>
      </c>
    </row>
    <row r="1260" spans="1:1" x14ac:dyDescent="0.25">
      <c r="A1260" s="19" t="s">
        <v>3889</v>
      </c>
    </row>
    <row r="1261" spans="1:1" x14ac:dyDescent="0.25">
      <c r="A1261" s="19" t="s">
        <v>3890</v>
      </c>
    </row>
    <row r="1262" spans="1:1" x14ac:dyDescent="0.25">
      <c r="A1262" s="19" t="s">
        <v>3891</v>
      </c>
    </row>
    <row r="1263" spans="1:1" x14ac:dyDescent="0.25">
      <c r="A1263" s="19" t="s">
        <v>3892</v>
      </c>
    </row>
    <row r="1264" spans="1:1" x14ac:dyDescent="0.25">
      <c r="A1264" s="19" t="s">
        <v>3893</v>
      </c>
    </row>
    <row r="1265" spans="1:1" x14ac:dyDescent="0.25">
      <c r="A1265" s="19" t="s">
        <v>3894</v>
      </c>
    </row>
    <row r="1266" spans="1:1" x14ac:dyDescent="0.25">
      <c r="A1266" s="19" t="s">
        <v>3895</v>
      </c>
    </row>
    <row r="1267" spans="1:1" x14ac:dyDescent="0.25">
      <c r="A1267" s="19" t="s">
        <v>3896</v>
      </c>
    </row>
    <row r="1268" spans="1:1" x14ac:dyDescent="0.25">
      <c r="A1268" s="19" t="s">
        <v>3897</v>
      </c>
    </row>
    <row r="1269" spans="1:1" x14ac:dyDescent="0.25">
      <c r="A1269" s="19" t="s">
        <v>3898</v>
      </c>
    </row>
    <row r="1270" spans="1:1" x14ac:dyDescent="0.25">
      <c r="A1270" s="19" t="s">
        <v>3899</v>
      </c>
    </row>
    <row r="1271" spans="1:1" x14ac:dyDescent="0.25">
      <c r="A1271" s="19" t="s">
        <v>3900</v>
      </c>
    </row>
    <row r="1272" spans="1:1" x14ac:dyDescent="0.25">
      <c r="A1272" s="19" t="s">
        <v>3901</v>
      </c>
    </row>
    <row r="1273" spans="1:1" x14ac:dyDescent="0.25">
      <c r="A1273" s="19" t="s">
        <v>3902</v>
      </c>
    </row>
    <row r="1274" spans="1:1" x14ac:dyDescent="0.25">
      <c r="A1274" s="19" t="s">
        <v>3903</v>
      </c>
    </row>
    <row r="1275" spans="1:1" x14ac:dyDescent="0.25">
      <c r="A1275" s="19" t="s">
        <v>3904</v>
      </c>
    </row>
    <row r="1276" spans="1:1" x14ac:dyDescent="0.25">
      <c r="A1276" s="19" t="s">
        <v>3905</v>
      </c>
    </row>
    <row r="1277" spans="1:1" x14ac:dyDescent="0.25">
      <c r="A1277" s="19" t="s">
        <v>3906</v>
      </c>
    </row>
    <row r="1278" spans="1:1" x14ac:dyDescent="0.25">
      <c r="A1278" s="19" t="s">
        <v>3907</v>
      </c>
    </row>
    <row r="1279" spans="1:1" x14ac:dyDescent="0.25">
      <c r="A1279" s="19" t="s">
        <v>3908</v>
      </c>
    </row>
    <row r="1280" spans="1:1" x14ac:dyDescent="0.25">
      <c r="A1280" s="19" t="s">
        <v>3909</v>
      </c>
    </row>
    <row r="1281" spans="1:1" x14ac:dyDescent="0.25">
      <c r="A1281" s="19" t="s">
        <v>3910</v>
      </c>
    </row>
    <row r="1282" spans="1:1" x14ac:dyDescent="0.25">
      <c r="A1282" s="19" t="s">
        <v>3911</v>
      </c>
    </row>
    <row r="1283" spans="1:1" x14ac:dyDescent="0.25">
      <c r="A1283" s="19" t="s">
        <v>3912</v>
      </c>
    </row>
    <row r="1284" spans="1:1" x14ac:dyDescent="0.25">
      <c r="A1284" s="19" t="s">
        <v>3913</v>
      </c>
    </row>
    <row r="1285" spans="1:1" x14ac:dyDescent="0.25">
      <c r="A1285" s="19" t="s">
        <v>3914</v>
      </c>
    </row>
    <row r="1286" spans="1:1" x14ac:dyDescent="0.25">
      <c r="A1286" s="19" t="s">
        <v>3915</v>
      </c>
    </row>
    <row r="1287" spans="1:1" x14ac:dyDescent="0.25">
      <c r="A1287" s="19" t="s">
        <v>3916</v>
      </c>
    </row>
    <row r="1288" spans="1:1" x14ac:dyDescent="0.25">
      <c r="A1288" s="19" t="s">
        <v>3917</v>
      </c>
    </row>
    <row r="1289" spans="1:1" x14ac:dyDescent="0.25">
      <c r="A1289" s="19" t="s">
        <v>3918</v>
      </c>
    </row>
    <row r="1290" spans="1:1" x14ac:dyDescent="0.25">
      <c r="A1290" s="19" t="s">
        <v>3919</v>
      </c>
    </row>
    <row r="1291" spans="1:1" x14ac:dyDescent="0.25">
      <c r="A1291" s="19" t="s">
        <v>3920</v>
      </c>
    </row>
    <row r="1292" spans="1:1" x14ac:dyDescent="0.25">
      <c r="A1292" s="19" t="s">
        <v>3921</v>
      </c>
    </row>
    <row r="1293" spans="1:1" x14ac:dyDescent="0.25">
      <c r="A1293" s="19" t="s">
        <v>3922</v>
      </c>
    </row>
    <row r="1294" spans="1:1" x14ac:dyDescent="0.25">
      <c r="A1294" s="19" t="s">
        <v>3923</v>
      </c>
    </row>
    <row r="1295" spans="1:1" x14ac:dyDescent="0.25">
      <c r="A1295" s="19" t="s">
        <v>3924</v>
      </c>
    </row>
    <row r="1296" spans="1:1" x14ac:dyDescent="0.25">
      <c r="A1296" s="19" t="s">
        <v>3925</v>
      </c>
    </row>
    <row r="1297" spans="1:1" x14ac:dyDescent="0.25">
      <c r="A1297" s="19" t="s">
        <v>3926</v>
      </c>
    </row>
    <row r="1298" spans="1:1" x14ac:dyDescent="0.25">
      <c r="A1298" s="19" t="s">
        <v>3927</v>
      </c>
    </row>
    <row r="1299" spans="1:1" x14ac:dyDescent="0.25">
      <c r="A1299" s="19" t="s">
        <v>3928</v>
      </c>
    </row>
    <row r="1300" spans="1:1" x14ac:dyDescent="0.25">
      <c r="A1300" s="19" t="s">
        <v>3929</v>
      </c>
    </row>
    <row r="1301" spans="1:1" x14ac:dyDescent="0.25">
      <c r="A1301" s="19" t="s">
        <v>3930</v>
      </c>
    </row>
    <row r="1302" spans="1:1" x14ac:dyDescent="0.25">
      <c r="A1302" s="19" t="s">
        <v>3931</v>
      </c>
    </row>
    <row r="1303" spans="1:1" x14ac:dyDescent="0.25">
      <c r="A1303" s="19" t="s">
        <v>3932</v>
      </c>
    </row>
    <row r="1304" spans="1:1" x14ac:dyDescent="0.25">
      <c r="A1304" s="19" t="s">
        <v>3933</v>
      </c>
    </row>
    <row r="1305" spans="1:1" x14ac:dyDescent="0.25">
      <c r="A1305" s="19" t="s">
        <v>3934</v>
      </c>
    </row>
    <row r="1306" spans="1:1" x14ac:dyDescent="0.25">
      <c r="A1306" s="19" t="s">
        <v>3935</v>
      </c>
    </row>
    <row r="1307" spans="1:1" x14ac:dyDescent="0.25">
      <c r="A1307" s="19" t="s">
        <v>3936</v>
      </c>
    </row>
    <row r="1308" spans="1:1" x14ac:dyDescent="0.25">
      <c r="A1308" s="19" t="s">
        <v>3937</v>
      </c>
    </row>
    <row r="1309" spans="1:1" x14ac:dyDescent="0.25">
      <c r="A1309" s="19" t="s">
        <v>3938</v>
      </c>
    </row>
    <row r="1310" spans="1:1" x14ac:dyDescent="0.25">
      <c r="A1310" s="19" t="s">
        <v>3939</v>
      </c>
    </row>
    <row r="1311" spans="1:1" x14ac:dyDescent="0.25">
      <c r="A1311" s="19" t="s">
        <v>3940</v>
      </c>
    </row>
    <row r="1312" spans="1:1" x14ac:dyDescent="0.25">
      <c r="A1312" s="19" t="s">
        <v>3941</v>
      </c>
    </row>
    <row r="1313" spans="1:1" x14ac:dyDescent="0.25">
      <c r="A1313" s="19" t="s">
        <v>3942</v>
      </c>
    </row>
    <row r="1314" spans="1:1" x14ac:dyDescent="0.25">
      <c r="A1314" s="19" t="s">
        <v>3943</v>
      </c>
    </row>
    <row r="1315" spans="1:1" x14ac:dyDescent="0.25">
      <c r="A1315" s="19" t="s">
        <v>3944</v>
      </c>
    </row>
    <row r="1316" spans="1:1" x14ac:dyDescent="0.25">
      <c r="A1316" s="19" t="s">
        <v>3944</v>
      </c>
    </row>
    <row r="1317" spans="1:1" x14ac:dyDescent="0.25">
      <c r="A1317" s="19" t="s">
        <v>3944</v>
      </c>
    </row>
    <row r="1318" spans="1:1" x14ac:dyDescent="0.25">
      <c r="A1318" s="19" t="s">
        <v>3944</v>
      </c>
    </row>
    <row r="1319" spans="1:1" x14ac:dyDescent="0.25">
      <c r="A1319" s="19" t="s">
        <v>3944</v>
      </c>
    </row>
    <row r="1320" spans="1:1" x14ac:dyDescent="0.25">
      <c r="A1320" s="19" t="s">
        <v>3945</v>
      </c>
    </row>
    <row r="1321" spans="1:1" x14ac:dyDescent="0.25">
      <c r="A1321" s="19" t="s">
        <v>3946</v>
      </c>
    </row>
    <row r="1322" spans="1:1" x14ac:dyDescent="0.25">
      <c r="A1322" s="19" t="s">
        <v>3947</v>
      </c>
    </row>
    <row r="1323" spans="1:1" x14ac:dyDescent="0.25">
      <c r="A1323" s="19" t="s">
        <v>3948</v>
      </c>
    </row>
    <row r="1324" spans="1:1" x14ac:dyDescent="0.25">
      <c r="A1324" s="19" t="s">
        <v>3949</v>
      </c>
    </row>
    <row r="1325" spans="1:1" x14ac:dyDescent="0.25">
      <c r="A1325" s="19" t="s">
        <v>3950</v>
      </c>
    </row>
    <row r="1326" spans="1:1" x14ac:dyDescent="0.25">
      <c r="A1326" s="19" t="s">
        <v>3951</v>
      </c>
    </row>
    <row r="1327" spans="1:1" x14ac:dyDescent="0.25">
      <c r="A1327" s="19" t="s">
        <v>3952</v>
      </c>
    </row>
    <row r="1328" spans="1:1" x14ac:dyDescent="0.25">
      <c r="A1328" s="19" t="s">
        <v>3953</v>
      </c>
    </row>
    <row r="1329" spans="1:1" x14ac:dyDescent="0.25">
      <c r="A1329" s="19" t="s">
        <v>3954</v>
      </c>
    </row>
    <row r="1330" spans="1:1" x14ac:dyDescent="0.25">
      <c r="A1330" s="19" t="s">
        <v>3955</v>
      </c>
    </row>
    <row r="1331" spans="1:1" x14ac:dyDescent="0.25">
      <c r="A1331" s="19" t="s">
        <v>3956</v>
      </c>
    </row>
    <row r="1332" spans="1:1" x14ac:dyDescent="0.25">
      <c r="A1332" s="19" t="s">
        <v>3957</v>
      </c>
    </row>
    <row r="1333" spans="1:1" x14ac:dyDescent="0.25">
      <c r="A1333" s="19" t="s">
        <v>3958</v>
      </c>
    </row>
    <row r="1334" spans="1:1" x14ac:dyDescent="0.25">
      <c r="A1334" s="19" t="s">
        <v>3959</v>
      </c>
    </row>
    <row r="1335" spans="1:1" x14ac:dyDescent="0.25">
      <c r="A1335" s="19" t="s">
        <v>3960</v>
      </c>
    </row>
    <row r="1336" spans="1:1" x14ac:dyDescent="0.25">
      <c r="A1336" s="19" t="s">
        <v>3961</v>
      </c>
    </row>
    <row r="1337" spans="1:1" x14ac:dyDescent="0.25">
      <c r="A1337" s="19" t="s">
        <v>3962</v>
      </c>
    </row>
    <row r="1338" spans="1:1" x14ac:dyDescent="0.25">
      <c r="A1338" s="19" t="s">
        <v>3963</v>
      </c>
    </row>
    <row r="1339" spans="1:1" x14ac:dyDescent="0.25">
      <c r="A1339" s="19" t="s">
        <v>3964</v>
      </c>
    </row>
    <row r="1340" spans="1:1" x14ac:dyDescent="0.25">
      <c r="A1340" s="19" t="s">
        <v>3965</v>
      </c>
    </row>
    <row r="1341" spans="1:1" x14ac:dyDescent="0.25">
      <c r="A1341" s="19" t="s">
        <v>3966</v>
      </c>
    </row>
    <row r="1342" spans="1:1" x14ac:dyDescent="0.25">
      <c r="A1342" s="19" t="s">
        <v>3967</v>
      </c>
    </row>
    <row r="1343" spans="1:1" x14ac:dyDescent="0.25">
      <c r="A1343" s="19" t="s">
        <v>3968</v>
      </c>
    </row>
    <row r="1344" spans="1:1" x14ac:dyDescent="0.25">
      <c r="A1344" s="19" t="s">
        <v>3969</v>
      </c>
    </row>
    <row r="1345" spans="1:1" x14ac:dyDescent="0.25">
      <c r="A1345" s="19" t="s">
        <v>3970</v>
      </c>
    </row>
    <row r="1346" spans="1:1" x14ac:dyDescent="0.25">
      <c r="A1346" s="19" t="s">
        <v>3971</v>
      </c>
    </row>
    <row r="1347" spans="1:1" x14ac:dyDescent="0.25">
      <c r="A1347" s="19" t="s">
        <v>3972</v>
      </c>
    </row>
    <row r="1348" spans="1:1" x14ac:dyDescent="0.25">
      <c r="A1348" s="19" t="s">
        <v>3973</v>
      </c>
    </row>
    <row r="1349" spans="1:1" x14ac:dyDescent="0.25">
      <c r="A1349" s="19" t="s">
        <v>3974</v>
      </c>
    </row>
    <row r="1350" spans="1:1" x14ac:dyDescent="0.25">
      <c r="A1350" s="19" t="s">
        <v>3975</v>
      </c>
    </row>
    <row r="1351" spans="1:1" x14ac:dyDescent="0.25">
      <c r="A1351" s="19" t="s">
        <v>3976</v>
      </c>
    </row>
    <row r="1352" spans="1:1" x14ac:dyDescent="0.25">
      <c r="A1352" s="19" t="s">
        <v>3977</v>
      </c>
    </row>
    <row r="1353" spans="1:1" x14ac:dyDescent="0.25">
      <c r="A1353" s="19" t="s">
        <v>3978</v>
      </c>
    </row>
    <row r="1354" spans="1:1" x14ac:dyDescent="0.25">
      <c r="A1354" s="19" t="s">
        <v>3979</v>
      </c>
    </row>
    <row r="1355" spans="1:1" x14ac:dyDescent="0.25">
      <c r="A1355" s="19" t="s">
        <v>3980</v>
      </c>
    </row>
    <row r="1356" spans="1:1" x14ac:dyDescent="0.25">
      <c r="A1356" s="19" t="s">
        <v>3981</v>
      </c>
    </row>
    <row r="1357" spans="1:1" x14ac:dyDescent="0.25">
      <c r="A1357" s="19" t="s">
        <v>3982</v>
      </c>
    </row>
    <row r="1358" spans="1:1" x14ac:dyDescent="0.25">
      <c r="A1358" s="19" t="s">
        <v>3983</v>
      </c>
    </row>
    <row r="1359" spans="1:1" x14ac:dyDescent="0.25">
      <c r="A1359" s="19" t="s">
        <v>3984</v>
      </c>
    </row>
    <row r="1360" spans="1:1" x14ac:dyDescent="0.25">
      <c r="A1360" s="19" t="s">
        <v>3985</v>
      </c>
    </row>
    <row r="1361" spans="1:1" x14ac:dyDescent="0.25">
      <c r="A1361" s="19" t="s">
        <v>3986</v>
      </c>
    </row>
    <row r="1362" spans="1:1" x14ac:dyDescent="0.25">
      <c r="A1362" s="19" t="s">
        <v>3987</v>
      </c>
    </row>
    <row r="1363" spans="1:1" x14ac:dyDescent="0.25">
      <c r="A1363" s="19" t="s">
        <v>3988</v>
      </c>
    </row>
    <row r="1364" spans="1:1" x14ac:dyDescent="0.25">
      <c r="A1364" s="19" t="s">
        <v>3989</v>
      </c>
    </row>
    <row r="1365" spans="1:1" x14ac:dyDescent="0.25">
      <c r="A1365" s="19" t="s">
        <v>3990</v>
      </c>
    </row>
    <row r="1366" spans="1:1" x14ac:dyDescent="0.25">
      <c r="A1366" s="19" t="s">
        <v>3991</v>
      </c>
    </row>
    <row r="1367" spans="1:1" x14ac:dyDescent="0.25">
      <c r="A1367" s="19" t="s">
        <v>3992</v>
      </c>
    </row>
    <row r="1368" spans="1:1" x14ac:dyDescent="0.25">
      <c r="A1368" s="19" t="s">
        <v>3993</v>
      </c>
    </row>
    <row r="1369" spans="1:1" x14ac:dyDescent="0.25">
      <c r="A1369" s="19" t="s">
        <v>3994</v>
      </c>
    </row>
    <row r="1370" spans="1:1" x14ac:dyDescent="0.25">
      <c r="A1370" s="19" t="s">
        <v>3995</v>
      </c>
    </row>
    <row r="1371" spans="1:1" x14ac:dyDescent="0.25">
      <c r="A1371" s="19" t="s">
        <v>3996</v>
      </c>
    </row>
    <row r="1372" spans="1:1" x14ac:dyDescent="0.25">
      <c r="A1372" s="19" t="s">
        <v>3997</v>
      </c>
    </row>
    <row r="1373" spans="1:1" x14ac:dyDescent="0.25">
      <c r="A1373" s="19" t="s">
        <v>3998</v>
      </c>
    </row>
    <row r="1374" spans="1:1" x14ac:dyDescent="0.25">
      <c r="A1374" s="19" t="s">
        <v>3999</v>
      </c>
    </row>
    <row r="1375" spans="1:1" x14ac:dyDescent="0.25">
      <c r="A1375" s="19" t="s">
        <v>4000</v>
      </c>
    </row>
    <row r="1376" spans="1:1" x14ac:dyDescent="0.25">
      <c r="A1376" s="19" t="s">
        <v>4001</v>
      </c>
    </row>
    <row r="1377" spans="1:1" x14ac:dyDescent="0.25">
      <c r="A1377" s="19" t="s">
        <v>4002</v>
      </c>
    </row>
    <row r="1378" spans="1:1" x14ac:dyDescent="0.25">
      <c r="A1378" s="19" t="s">
        <v>4003</v>
      </c>
    </row>
    <row r="1379" spans="1:1" x14ac:dyDescent="0.25">
      <c r="A1379" s="19" t="s">
        <v>4004</v>
      </c>
    </row>
    <row r="1380" spans="1:1" x14ac:dyDescent="0.25">
      <c r="A1380" s="19" t="s">
        <v>4005</v>
      </c>
    </row>
    <row r="1381" spans="1:1" x14ac:dyDescent="0.25">
      <c r="A1381" s="19" t="s">
        <v>4006</v>
      </c>
    </row>
    <row r="1382" spans="1:1" x14ac:dyDescent="0.25">
      <c r="A1382" s="19" t="s">
        <v>4007</v>
      </c>
    </row>
    <row r="1383" spans="1:1" x14ac:dyDescent="0.25">
      <c r="A1383" s="19" t="s">
        <v>4008</v>
      </c>
    </row>
    <row r="1384" spans="1:1" x14ac:dyDescent="0.25">
      <c r="A1384" s="19" t="s">
        <v>4009</v>
      </c>
    </row>
    <row r="1385" spans="1:1" x14ac:dyDescent="0.25">
      <c r="A1385" s="19" t="s">
        <v>4010</v>
      </c>
    </row>
    <row r="1386" spans="1:1" x14ac:dyDescent="0.25">
      <c r="A1386" s="19" t="s">
        <v>4011</v>
      </c>
    </row>
    <row r="1387" spans="1:1" x14ac:dyDescent="0.25">
      <c r="A1387" s="19" t="s">
        <v>4012</v>
      </c>
    </row>
    <row r="1388" spans="1:1" x14ac:dyDescent="0.25">
      <c r="A1388" s="19" t="s">
        <v>4013</v>
      </c>
    </row>
    <row r="1389" spans="1:1" x14ac:dyDescent="0.25">
      <c r="A1389" s="19" t="s">
        <v>4014</v>
      </c>
    </row>
    <row r="1390" spans="1:1" x14ac:dyDescent="0.25">
      <c r="A1390" s="19" t="s">
        <v>4015</v>
      </c>
    </row>
    <row r="1391" spans="1:1" x14ac:dyDescent="0.25">
      <c r="A1391" s="19" t="s">
        <v>4016</v>
      </c>
    </row>
    <row r="1392" spans="1:1" x14ac:dyDescent="0.25">
      <c r="A1392" s="19" t="s">
        <v>4017</v>
      </c>
    </row>
    <row r="1393" spans="1:1" x14ac:dyDescent="0.25">
      <c r="A1393" s="19" t="s">
        <v>4018</v>
      </c>
    </row>
    <row r="1394" spans="1:1" x14ac:dyDescent="0.25">
      <c r="A1394" s="19" t="s">
        <v>4019</v>
      </c>
    </row>
    <row r="1395" spans="1:1" x14ac:dyDescent="0.25">
      <c r="A1395" s="19" t="s">
        <v>4020</v>
      </c>
    </row>
    <row r="1396" spans="1:1" x14ac:dyDescent="0.25">
      <c r="A1396" s="19" t="s">
        <v>4021</v>
      </c>
    </row>
    <row r="1397" spans="1:1" x14ac:dyDescent="0.25">
      <c r="A1397" s="19" t="s">
        <v>4022</v>
      </c>
    </row>
    <row r="1398" spans="1:1" x14ac:dyDescent="0.25">
      <c r="A1398" s="19" t="s">
        <v>4023</v>
      </c>
    </row>
    <row r="1399" spans="1:1" x14ac:dyDescent="0.25">
      <c r="A1399" s="19" t="s">
        <v>4024</v>
      </c>
    </row>
    <row r="1400" spans="1:1" x14ac:dyDescent="0.25">
      <c r="A1400" s="19" t="s">
        <v>4025</v>
      </c>
    </row>
    <row r="1401" spans="1:1" x14ac:dyDescent="0.25">
      <c r="A1401" s="19" t="s">
        <v>4026</v>
      </c>
    </row>
    <row r="1402" spans="1:1" x14ac:dyDescent="0.25">
      <c r="A1402" s="19" t="s">
        <v>4027</v>
      </c>
    </row>
    <row r="1403" spans="1:1" x14ac:dyDescent="0.25">
      <c r="A1403" s="19" t="s">
        <v>4028</v>
      </c>
    </row>
    <row r="1404" spans="1:1" x14ac:dyDescent="0.25">
      <c r="A1404" s="19" t="s">
        <v>4029</v>
      </c>
    </row>
    <row r="1405" spans="1:1" x14ac:dyDescent="0.25">
      <c r="A1405" s="19" t="s">
        <v>4030</v>
      </c>
    </row>
    <row r="1406" spans="1:1" x14ac:dyDescent="0.25">
      <c r="A1406" s="19" t="s">
        <v>4031</v>
      </c>
    </row>
    <row r="1407" spans="1:1" x14ac:dyDescent="0.25">
      <c r="A1407" s="19" t="s">
        <v>4032</v>
      </c>
    </row>
    <row r="1408" spans="1:1" x14ac:dyDescent="0.25">
      <c r="A1408" s="19" t="s">
        <v>4033</v>
      </c>
    </row>
    <row r="1409" spans="1:1" x14ac:dyDescent="0.25">
      <c r="A1409" s="19" t="s">
        <v>4034</v>
      </c>
    </row>
    <row r="1410" spans="1:1" x14ac:dyDescent="0.25">
      <c r="A1410" s="19" t="s">
        <v>4034</v>
      </c>
    </row>
    <row r="1411" spans="1:1" x14ac:dyDescent="0.25">
      <c r="A1411" s="19" t="s">
        <v>4034</v>
      </c>
    </row>
    <row r="1412" spans="1:1" x14ac:dyDescent="0.25">
      <c r="A1412" s="19" t="s">
        <v>4034</v>
      </c>
    </row>
    <row r="1413" spans="1:1" x14ac:dyDescent="0.25">
      <c r="A1413" s="19" t="s">
        <v>4034</v>
      </c>
    </row>
    <row r="1414" spans="1:1" x14ac:dyDescent="0.25">
      <c r="A1414" s="19" t="s">
        <v>4034</v>
      </c>
    </row>
    <row r="1415" spans="1:1" x14ac:dyDescent="0.25">
      <c r="A1415" s="19" t="s">
        <v>4035</v>
      </c>
    </row>
    <row r="1416" spans="1:1" x14ac:dyDescent="0.25">
      <c r="A1416" s="19" t="s">
        <v>4036</v>
      </c>
    </row>
    <row r="1417" spans="1:1" x14ac:dyDescent="0.25">
      <c r="A1417" s="19" t="s">
        <v>4037</v>
      </c>
    </row>
    <row r="1418" spans="1:1" x14ac:dyDescent="0.25">
      <c r="A1418" s="19" t="s">
        <v>4038</v>
      </c>
    </row>
    <row r="1419" spans="1:1" x14ac:dyDescent="0.25">
      <c r="A1419" s="19" t="s">
        <v>4039</v>
      </c>
    </row>
    <row r="1420" spans="1:1" x14ac:dyDescent="0.25">
      <c r="A1420" s="19" t="s">
        <v>4040</v>
      </c>
    </row>
    <row r="1421" spans="1:1" x14ac:dyDescent="0.25">
      <c r="A1421" s="19" t="s">
        <v>4041</v>
      </c>
    </row>
    <row r="1422" spans="1:1" x14ac:dyDescent="0.25">
      <c r="A1422" s="19" t="s">
        <v>4042</v>
      </c>
    </row>
    <row r="1423" spans="1:1" x14ac:dyDescent="0.25">
      <c r="A1423" s="19" t="s">
        <v>4043</v>
      </c>
    </row>
    <row r="1424" spans="1:1" x14ac:dyDescent="0.25">
      <c r="A1424" s="19" t="s">
        <v>4044</v>
      </c>
    </row>
    <row r="1425" spans="1:1" x14ac:dyDescent="0.25">
      <c r="A1425" s="19" t="s">
        <v>4045</v>
      </c>
    </row>
    <row r="1426" spans="1:1" x14ac:dyDescent="0.25">
      <c r="A1426" s="19" t="s">
        <v>4046</v>
      </c>
    </row>
    <row r="1427" spans="1:1" x14ac:dyDescent="0.25">
      <c r="A1427" s="19" t="s">
        <v>4047</v>
      </c>
    </row>
    <row r="1428" spans="1:1" x14ac:dyDescent="0.25">
      <c r="A1428" s="19" t="s">
        <v>4048</v>
      </c>
    </row>
    <row r="1429" spans="1:1" x14ac:dyDescent="0.25">
      <c r="A1429" s="19" t="s">
        <v>4049</v>
      </c>
    </row>
    <row r="1430" spans="1:1" x14ac:dyDescent="0.25">
      <c r="A1430" s="19" t="s">
        <v>4050</v>
      </c>
    </row>
    <row r="1431" spans="1:1" x14ac:dyDescent="0.25">
      <c r="A1431" s="19" t="s">
        <v>4051</v>
      </c>
    </row>
    <row r="1432" spans="1:1" x14ac:dyDescent="0.25">
      <c r="A1432" s="19" t="s">
        <v>4052</v>
      </c>
    </row>
    <row r="1433" spans="1:1" x14ac:dyDescent="0.25">
      <c r="A1433" s="19" t="s">
        <v>4053</v>
      </c>
    </row>
    <row r="1434" spans="1:1" x14ac:dyDescent="0.25">
      <c r="A1434" s="19" t="s">
        <v>4054</v>
      </c>
    </row>
    <row r="1435" spans="1:1" x14ac:dyDescent="0.25">
      <c r="A1435" s="19" t="s">
        <v>4055</v>
      </c>
    </row>
    <row r="1436" spans="1:1" x14ac:dyDescent="0.25">
      <c r="A1436" s="19" t="s">
        <v>4056</v>
      </c>
    </row>
    <row r="1437" spans="1:1" x14ac:dyDescent="0.25">
      <c r="A1437" s="19" t="s">
        <v>4057</v>
      </c>
    </row>
    <row r="1438" spans="1:1" x14ac:dyDescent="0.25">
      <c r="A1438" s="19" t="s">
        <v>4058</v>
      </c>
    </row>
    <row r="1439" spans="1:1" x14ac:dyDescent="0.25">
      <c r="A1439" s="19" t="s">
        <v>4059</v>
      </c>
    </row>
    <row r="1440" spans="1:1" x14ac:dyDescent="0.25">
      <c r="A1440" s="19" t="s">
        <v>4060</v>
      </c>
    </row>
    <row r="1441" spans="1:1" x14ac:dyDescent="0.25">
      <c r="A1441" s="19" t="s">
        <v>4061</v>
      </c>
    </row>
    <row r="1442" spans="1:1" x14ac:dyDescent="0.25">
      <c r="A1442" s="19" t="s">
        <v>4062</v>
      </c>
    </row>
    <row r="1443" spans="1:1" x14ac:dyDescent="0.25">
      <c r="A1443" s="19" t="s">
        <v>4063</v>
      </c>
    </row>
    <row r="1444" spans="1:1" x14ac:dyDescent="0.25">
      <c r="A1444" s="19" t="s">
        <v>4064</v>
      </c>
    </row>
    <row r="1445" spans="1:1" x14ac:dyDescent="0.25">
      <c r="A1445" s="19" t="s">
        <v>4065</v>
      </c>
    </row>
    <row r="1446" spans="1:1" x14ac:dyDescent="0.25">
      <c r="A1446" s="19" t="s">
        <v>4066</v>
      </c>
    </row>
    <row r="1447" spans="1:1" x14ac:dyDescent="0.25">
      <c r="A1447" s="19" t="s">
        <v>4067</v>
      </c>
    </row>
    <row r="1448" spans="1:1" x14ac:dyDescent="0.25">
      <c r="A1448" s="19" t="s">
        <v>4068</v>
      </c>
    </row>
    <row r="1449" spans="1:1" x14ac:dyDescent="0.25">
      <c r="A1449" s="19" t="s">
        <v>4069</v>
      </c>
    </row>
    <row r="1450" spans="1:1" x14ac:dyDescent="0.25">
      <c r="A1450" s="19" t="s">
        <v>4070</v>
      </c>
    </row>
    <row r="1451" spans="1:1" x14ac:dyDescent="0.25">
      <c r="A1451" s="19" t="s">
        <v>4071</v>
      </c>
    </row>
    <row r="1452" spans="1:1" x14ac:dyDescent="0.25">
      <c r="A1452" s="19" t="s">
        <v>4072</v>
      </c>
    </row>
    <row r="1453" spans="1:1" x14ac:dyDescent="0.25">
      <c r="A1453" s="19" t="s">
        <v>4073</v>
      </c>
    </row>
    <row r="1454" spans="1:1" x14ac:dyDescent="0.25">
      <c r="A1454" s="19" t="s">
        <v>4074</v>
      </c>
    </row>
    <row r="1455" spans="1:1" x14ac:dyDescent="0.25">
      <c r="A1455" s="19" t="s">
        <v>4075</v>
      </c>
    </row>
    <row r="1456" spans="1:1" x14ac:dyDescent="0.25">
      <c r="A1456" s="19" t="s">
        <v>4076</v>
      </c>
    </row>
    <row r="1457" spans="1:1" x14ac:dyDescent="0.25">
      <c r="A1457" s="19" t="s">
        <v>4077</v>
      </c>
    </row>
    <row r="1458" spans="1:1" x14ac:dyDescent="0.25">
      <c r="A1458" s="19" t="s">
        <v>4078</v>
      </c>
    </row>
    <row r="1459" spans="1:1" x14ac:dyDescent="0.25">
      <c r="A1459" s="19" t="s">
        <v>4079</v>
      </c>
    </row>
    <row r="1460" spans="1:1" x14ac:dyDescent="0.25">
      <c r="A1460" s="19" t="s">
        <v>4080</v>
      </c>
    </row>
    <row r="1461" spans="1:1" x14ac:dyDescent="0.25">
      <c r="A1461" s="19" t="s">
        <v>4081</v>
      </c>
    </row>
    <row r="1462" spans="1:1" x14ac:dyDescent="0.25">
      <c r="A1462" s="19" t="s">
        <v>4082</v>
      </c>
    </row>
    <row r="1463" spans="1:1" x14ac:dyDescent="0.25">
      <c r="A1463" s="19" t="s">
        <v>4083</v>
      </c>
    </row>
    <row r="1464" spans="1:1" x14ac:dyDescent="0.25">
      <c r="A1464" s="19" t="s">
        <v>4084</v>
      </c>
    </row>
    <row r="1465" spans="1:1" x14ac:dyDescent="0.25">
      <c r="A1465" s="19" t="s">
        <v>4085</v>
      </c>
    </row>
    <row r="1466" spans="1:1" x14ac:dyDescent="0.25">
      <c r="A1466" s="19" t="s">
        <v>4086</v>
      </c>
    </row>
    <row r="1467" spans="1:1" x14ac:dyDescent="0.25">
      <c r="A1467" s="19" t="s">
        <v>4087</v>
      </c>
    </row>
    <row r="1468" spans="1:1" x14ac:dyDescent="0.25">
      <c r="A1468" s="19" t="s">
        <v>4088</v>
      </c>
    </row>
    <row r="1469" spans="1:1" x14ac:dyDescent="0.25">
      <c r="A1469" s="19" t="s">
        <v>4089</v>
      </c>
    </row>
    <row r="1470" spans="1:1" x14ac:dyDescent="0.25">
      <c r="A1470" s="19" t="s">
        <v>4090</v>
      </c>
    </row>
    <row r="1471" spans="1:1" x14ac:dyDescent="0.25">
      <c r="A1471" s="19" t="s">
        <v>4091</v>
      </c>
    </row>
    <row r="1472" spans="1:1" x14ac:dyDescent="0.25">
      <c r="A1472" s="19" t="s">
        <v>4092</v>
      </c>
    </row>
    <row r="1473" spans="1:1" x14ac:dyDescent="0.25">
      <c r="A1473" s="19" t="s">
        <v>4093</v>
      </c>
    </row>
    <row r="1474" spans="1:1" x14ac:dyDescent="0.25">
      <c r="A1474" s="19" t="s">
        <v>4094</v>
      </c>
    </row>
    <row r="1475" spans="1:1" x14ac:dyDescent="0.25">
      <c r="A1475" s="19" t="s">
        <v>4095</v>
      </c>
    </row>
    <row r="1476" spans="1:1" x14ac:dyDescent="0.25">
      <c r="A1476" s="19" t="s">
        <v>4096</v>
      </c>
    </row>
    <row r="1477" spans="1:1" x14ac:dyDescent="0.25">
      <c r="A1477" s="19" t="s">
        <v>4097</v>
      </c>
    </row>
    <row r="1478" spans="1:1" x14ac:dyDescent="0.25">
      <c r="A1478" s="19" t="s">
        <v>4098</v>
      </c>
    </row>
    <row r="1479" spans="1:1" x14ac:dyDescent="0.25">
      <c r="A1479" s="19" t="s">
        <v>4099</v>
      </c>
    </row>
    <row r="1480" spans="1:1" x14ac:dyDescent="0.25">
      <c r="A1480" s="19" t="s">
        <v>4100</v>
      </c>
    </row>
    <row r="1481" spans="1:1" x14ac:dyDescent="0.25">
      <c r="A1481" s="19" t="s">
        <v>4101</v>
      </c>
    </row>
    <row r="1482" spans="1:1" x14ac:dyDescent="0.25">
      <c r="A1482" s="19" t="s">
        <v>4102</v>
      </c>
    </row>
    <row r="1483" spans="1:1" x14ac:dyDescent="0.25">
      <c r="A1483" s="19" t="s">
        <v>4103</v>
      </c>
    </row>
    <row r="1484" spans="1:1" x14ac:dyDescent="0.25">
      <c r="A1484" s="19" t="s">
        <v>4104</v>
      </c>
    </row>
    <row r="1485" spans="1:1" x14ac:dyDescent="0.25">
      <c r="A1485" s="19" t="s">
        <v>4105</v>
      </c>
    </row>
    <row r="1486" spans="1:1" x14ac:dyDescent="0.25">
      <c r="A1486" s="19" t="s">
        <v>4106</v>
      </c>
    </row>
    <row r="1487" spans="1:1" x14ac:dyDescent="0.25">
      <c r="A1487" s="19" t="s">
        <v>4107</v>
      </c>
    </row>
    <row r="1488" spans="1:1" x14ac:dyDescent="0.25">
      <c r="A1488" s="19" t="s">
        <v>4108</v>
      </c>
    </row>
    <row r="1489" spans="1:1" x14ac:dyDescent="0.25">
      <c r="A1489" s="19" t="s">
        <v>4109</v>
      </c>
    </row>
    <row r="1490" spans="1:1" x14ac:dyDescent="0.25">
      <c r="A1490" s="19" t="s">
        <v>4110</v>
      </c>
    </row>
    <row r="1491" spans="1:1" x14ac:dyDescent="0.25">
      <c r="A1491" s="19" t="s">
        <v>4111</v>
      </c>
    </row>
    <row r="1492" spans="1:1" x14ac:dyDescent="0.25">
      <c r="A1492" s="19" t="s">
        <v>4112</v>
      </c>
    </row>
    <row r="1493" spans="1:1" x14ac:dyDescent="0.25">
      <c r="A1493" s="19" t="s">
        <v>4113</v>
      </c>
    </row>
    <row r="1494" spans="1:1" x14ac:dyDescent="0.25">
      <c r="A1494" s="19" t="s">
        <v>4114</v>
      </c>
    </row>
    <row r="1495" spans="1:1" x14ac:dyDescent="0.25">
      <c r="A1495" s="19" t="s">
        <v>4115</v>
      </c>
    </row>
    <row r="1496" spans="1:1" x14ac:dyDescent="0.25">
      <c r="A1496" s="19" t="s">
        <v>4116</v>
      </c>
    </row>
    <row r="1497" spans="1:1" x14ac:dyDescent="0.25">
      <c r="A1497" s="19" t="s">
        <v>4117</v>
      </c>
    </row>
    <row r="1498" spans="1:1" x14ac:dyDescent="0.25">
      <c r="A1498" s="19" t="s">
        <v>4118</v>
      </c>
    </row>
    <row r="1499" spans="1:1" x14ac:dyDescent="0.25">
      <c r="A1499" s="19" t="s">
        <v>4119</v>
      </c>
    </row>
    <row r="1500" spans="1:1" x14ac:dyDescent="0.25">
      <c r="A1500" s="19" t="s">
        <v>4120</v>
      </c>
    </row>
    <row r="1501" spans="1:1" x14ac:dyDescent="0.25">
      <c r="A1501" s="19" t="s">
        <v>4121</v>
      </c>
    </row>
    <row r="1502" spans="1:1" x14ac:dyDescent="0.25">
      <c r="A1502" s="19" t="s">
        <v>4122</v>
      </c>
    </row>
    <row r="1503" spans="1:1" x14ac:dyDescent="0.25">
      <c r="A1503" s="19" t="s">
        <v>4123</v>
      </c>
    </row>
    <row r="1504" spans="1:1" x14ac:dyDescent="0.25">
      <c r="A1504" s="19" t="s">
        <v>4124</v>
      </c>
    </row>
    <row r="1505" spans="1:1" x14ac:dyDescent="0.25">
      <c r="A1505" s="19" t="s">
        <v>4125</v>
      </c>
    </row>
    <row r="1506" spans="1:1" x14ac:dyDescent="0.25">
      <c r="A1506" s="19" t="s">
        <v>4126</v>
      </c>
    </row>
    <row r="1507" spans="1:1" x14ac:dyDescent="0.25">
      <c r="A1507" s="19" t="s">
        <v>4127</v>
      </c>
    </row>
    <row r="1508" spans="1:1" x14ac:dyDescent="0.25">
      <c r="A1508" s="19" t="s">
        <v>4128</v>
      </c>
    </row>
    <row r="1509" spans="1:1" x14ac:dyDescent="0.25">
      <c r="A1509" s="19" t="s">
        <v>4129</v>
      </c>
    </row>
    <row r="1510" spans="1:1" x14ac:dyDescent="0.25">
      <c r="A1510" s="19" t="s">
        <v>4130</v>
      </c>
    </row>
    <row r="1511" spans="1:1" x14ac:dyDescent="0.25">
      <c r="A1511" s="19" t="s">
        <v>4131</v>
      </c>
    </row>
    <row r="1512" spans="1:1" x14ac:dyDescent="0.25">
      <c r="A1512" s="19" t="s">
        <v>4132</v>
      </c>
    </row>
    <row r="1513" spans="1:1" x14ac:dyDescent="0.25">
      <c r="A1513" s="19" t="s">
        <v>4133</v>
      </c>
    </row>
    <row r="1514" spans="1:1" x14ac:dyDescent="0.25">
      <c r="A1514" s="19" t="s">
        <v>4134</v>
      </c>
    </row>
    <row r="1515" spans="1:1" x14ac:dyDescent="0.25">
      <c r="A1515" s="19" t="s">
        <v>4135</v>
      </c>
    </row>
    <row r="1516" spans="1:1" x14ac:dyDescent="0.25">
      <c r="A1516" s="19" t="s">
        <v>4136</v>
      </c>
    </row>
    <row r="1517" spans="1:1" x14ac:dyDescent="0.25">
      <c r="A1517" s="19" t="s">
        <v>4137</v>
      </c>
    </row>
    <row r="1518" spans="1:1" x14ac:dyDescent="0.25">
      <c r="A1518" s="19" t="s">
        <v>4137</v>
      </c>
    </row>
    <row r="1519" spans="1:1" x14ac:dyDescent="0.25">
      <c r="A1519" s="19" t="s">
        <v>4138</v>
      </c>
    </row>
    <row r="1520" spans="1:1" x14ac:dyDescent="0.25">
      <c r="A1520" s="19" t="s">
        <v>4139</v>
      </c>
    </row>
    <row r="1521" spans="1:1" x14ac:dyDescent="0.25">
      <c r="A1521" s="19" t="s">
        <v>4140</v>
      </c>
    </row>
    <row r="1522" spans="1:1" x14ac:dyDescent="0.25">
      <c r="A1522" s="19" t="s">
        <v>4141</v>
      </c>
    </row>
    <row r="1523" spans="1:1" x14ac:dyDescent="0.25">
      <c r="A1523" s="19" t="s">
        <v>4142</v>
      </c>
    </row>
    <row r="1524" spans="1:1" x14ac:dyDescent="0.25">
      <c r="A1524" s="19" t="s">
        <v>4143</v>
      </c>
    </row>
    <row r="1525" spans="1:1" x14ac:dyDescent="0.25">
      <c r="A1525" s="19" t="s">
        <v>4144</v>
      </c>
    </row>
    <row r="1526" spans="1:1" x14ac:dyDescent="0.25">
      <c r="A1526" s="19" t="s">
        <v>4145</v>
      </c>
    </row>
    <row r="1527" spans="1:1" x14ac:dyDescent="0.25">
      <c r="A1527" s="19" t="s">
        <v>4146</v>
      </c>
    </row>
    <row r="1528" spans="1:1" x14ac:dyDescent="0.25">
      <c r="A1528" s="19" t="s">
        <v>4147</v>
      </c>
    </row>
    <row r="1529" spans="1:1" x14ac:dyDescent="0.25">
      <c r="A1529" s="19" t="s">
        <v>4148</v>
      </c>
    </row>
    <row r="1530" spans="1:1" x14ac:dyDescent="0.25">
      <c r="A1530" s="19" t="s">
        <v>4149</v>
      </c>
    </row>
    <row r="1531" spans="1:1" x14ac:dyDescent="0.25">
      <c r="A1531" s="19" t="s">
        <v>4150</v>
      </c>
    </row>
    <row r="1532" spans="1:1" x14ac:dyDescent="0.25">
      <c r="A1532" s="19" t="s">
        <v>4151</v>
      </c>
    </row>
    <row r="1533" spans="1:1" x14ac:dyDescent="0.25">
      <c r="A1533" s="19" t="s">
        <v>4152</v>
      </c>
    </row>
    <row r="1534" spans="1:1" x14ac:dyDescent="0.25">
      <c r="A1534" s="19" t="s">
        <v>4153</v>
      </c>
    </row>
    <row r="1535" spans="1:1" x14ac:dyDescent="0.25">
      <c r="A1535" s="19" t="s">
        <v>4154</v>
      </c>
    </row>
    <row r="1536" spans="1:1" x14ac:dyDescent="0.25">
      <c r="A1536" s="19" t="s">
        <v>4155</v>
      </c>
    </row>
    <row r="1537" spans="1:1" x14ac:dyDescent="0.25">
      <c r="A1537" s="19" t="s">
        <v>4156</v>
      </c>
    </row>
    <row r="1538" spans="1:1" x14ac:dyDescent="0.25">
      <c r="A1538" s="19" t="s">
        <v>4157</v>
      </c>
    </row>
    <row r="1539" spans="1:1" x14ac:dyDescent="0.25">
      <c r="A1539" s="19" t="s">
        <v>4158</v>
      </c>
    </row>
    <row r="1540" spans="1:1" x14ac:dyDescent="0.25">
      <c r="A1540" s="19" t="s">
        <v>4159</v>
      </c>
    </row>
    <row r="1541" spans="1:1" x14ac:dyDescent="0.25">
      <c r="A1541" s="19" t="s">
        <v>4160</v>
      </c>
    </row>
    <row r="1542" spans="1:1" x14ac:dyDescent="0.25">
      <c r="A1542" s="19" t="s">
        <v>4161</v>
      </c>
    </row>
    <row r="1543" spans="1:1" x14ac:dyDescent="0.25">
      <c r="A1543" s="19" t="s">
        <v>4162</v>
      </c>
    </row>
    <row r="1544" spans="1:1" x14ac:dyDescent="0.25">
      <c r="A1544" s="19" t="s">
        <v>4163</v>
      </c>
    </row>
    <row r="1545" spans="1:1" x14ac:dyDescent="0.25">
      <c r="A1545" s="19" t="s">
        <v>4164</v>
      </c>
    </row>
    <row r="1546" spans="1:1" x14ac:dyDescent="0.25">
      <c r="A1546" s="19" t="s">
        <v>4165</v>
      </c>
    </row>
    <row r="1547" spans="1:1" x14ac:dyDescent="0.25">
      <c r="A1547" s="19" t="s">
        <v>4166</v>
      </c>
    </row>
    <row r="1548" spans="1:1" x14ac:dyDescent="0.25">
      <c r="A1548" s="19" t="s">
        <v>4167</v>
      </c>
    </row>
    <row r="1549" spans="1:1" x14ac:dyDescent="0.25">
      <c r="A1549" s="19" t="s">
        <v>4168</v>
      </c>
    </row>
    <row r="1550" spans="1:1" x14ac:dyDescent="0.25">
      <c r="A1550" s="19" t="s">
        <v>4169</v>
      </c>
    </row>
    <row r="1551" spans="1:1" x14ac:dyDescent="0.25">
      <c r="A1551" s="19" t="s">
        <v>4170</v>
      </c>
    </row>
    <row r="1552" spans="1:1" x14ac:dyDescent="0.25">
      <c r="A1552" s="19" t="s">
        <v>4171</v>
      </c>
    </row>
    <row r="1553" spans="1:1" x14ac:dyDescent="0.25">
      <c r="A1553" s="19" t="s">
        <v>4172</v>
      </c>
    </row>
    <row r="1554" spans="1:1" x14ac:dyDescent="0.25">
      <c r="A1554" s="19" t="s">
        <v>4173</v>
      </c>
    </row>
    <row r="1555" spans="1:1" x14ac:dyDescent="0.25">
      <c r="A1555" s="19" t="s">
        <v>4174</v>
      </c>
    </row>
    <row r="1556" spans="1:1" x14ac:dyDescent="0.25">
      <c r="A1556" s="19" t="s">
        <v>4175</v>
      </c>
    </row>
    <row r="1557" spans="1:1" x14ac:dyDescent="0.25">
      <c r="A1557" s="19" t="s">
        <v>4176</v>
      </c>
    </row>
    <row r="1558" spans="1:1" x14ac:dyDescent="0.25">
      <c r="A1558" s="19" t="s">
        <v>4177</v>
      </c>
    </row>
    <row r="1559" spans="1:1" x14ac:dyDescent="0.25">
      <c r="A1559" s="19" t="s">
        <v>4178</v>
      </c>
    </row>
    <row r="1560" spans="1:1" x14ac:dyDescent="0.25">
      <c r="A1560" s="19" t="s">
        <v>4179</v>
      </c>
    </row>
    <row r="1561" spans="1:1" x14ac:dyDescent="0.25">
      <c r="A1561" s="19" t="s">
        <v>4180</v>
      </c>
    </row>
    <row r="1562" spans="1:1" x14ac:dyDescent="0.25">
      <c r="A1562" s="19" t="s">
        <v>4181</v>
      </c>
    </row>
    <row r="1563" spans="1:1" x14ac:dyDescent="0.25">
      <c r="A1563" s="19" t="s">
        <v>4182</v>
      </c>
    </row>
    <row r="1564" spans="1:1" x14ac:dyDescent="0.25">
      <c r="A1564" s="19" t="s">
        <v>4183</v>
      </c>
    </row>
    <row r="1565" spans="1:1" x14ac:dyDescent="0.25">
      <c r="A1565" s="19" t="s">
        <v>4184</v>
      </c>
    </row>
    <row r="1566" spans="1:1" x14ac:dyDescent="0.25">
      <c r="A1566" s="19" t="s">
        <v>4185</v>
      </c>
    </row>
    <row r="1567" spans="1:1" x14ac:dyDescent="0.25">
      <c r="A1567" s="19" t="s">
        <v>4186</v>
      </c>
    </row>
    <row r="1568" spans="1:1" x14ac:dyDescent="0.25">
      <c r="A1568" s="19" t="s">
        <v>4187</v>
      </c>
    </row>
    <row r="1569" spans="1:1" x14ac:dyDescent="0.25">
      <c r="A1569" s="19" t="s">
        <v>4188</v>
      </c>
    </row>
    <row r="1570" spans="1:1" x14ac:dyDescent="0.25">
      <c r="A1570" s="19" t="s">
        <v>4189</v>
      </c>
    </row>
    <row r="1571" spans="1:1" x14ac:dyDescent="0.25">
      <c r="A1571" s="19" t="s">
        <v>4190</v>
      </c>
    </row>
    <row r="1572" spans="1:1" x14ac:dyDescent="0.25">
      <c r="A1572" s="19" t="s">
        <v>4191</v>
      </c>
    </row>
    <row r="1573" spans="1:1" x14ac:dyDescent="0.25">
      <c r="A1573" s="19" t="s">
        <v>4192</v>
      </c>
    </row>
    <row r="1574" spans="1:1" x14ac:dyDescent="0.25">
      <c r="A1574" s="19" t="s">
        <v>4193</v>
      </c>
    </row>
    <row r="1575" spans="1:1" x14ac:dyDescent="0.25">
      <c r="A1575" s="19" t="s">
        <v>4194</v>
      </c>
    </row>
    <row r="1576" spans="1:1" x14ac:dyDescent="0.25">
      <c r="A1576" s="19" t="s">
        <v>4195</v>
      </c>
    </row>
    <row r="1577" spans="1:1" x14ac:dyDescent="0.25">
      <c r="A1577" s="19" t="s">
        <v>4196</v>
      </c>
    </row>
    <row r="1578" spans="1:1" x14ac:dyDescent="0.25">
      <c r="A1578" s="19" t="s">
        <v>4197</v>
      </c>
    </row>
    <row r="1579" spans="1:1" x14ac:dyDescent="0.25">
      <c r="A1579" s="19" t="s">
        <v>4198</v>
      </c>
    </row>
    <row r="1580" spans="1:1" x14ac:dyDescent="0.25">
      <c r="A1580" s="19" t="s">
        <v>4199</v>
      </c>
    </row>
    <row r="1581" spans="1:1" x14ac:dyDescent="0.25">
      <c r="A1581" s="19" t="s">
        <v>4200</v>
      </c>
    </row>
    <row r="1582" spans="1:1" x14ac:dyDescent="0.25">
      <c r="A1582" s="19" t="s">
        <v>4201</v>
      </c>
    </row>
    <row r="1583" spans="1:1" x14ac:dyDescent="0.25">
      <c r="A1583" s="19" t="s">
        <v>4202</v>
      </c>
    </row>
    <row r="1584" spans="1:1" x14ac:dyDescent="0.25">
      <c r="A1584" s="19" t="s">
        <v>4203</v>
      </c>
    </row>
    <row r="1585" spans="1:1" x14ac:dyDescent="0.25">
      <c r="A1585" s="19" t="s">
        <v>4204</v>
      </c>
    </row>
    <row r="1586" spans="1:1" x14ac:dyDescent="0.25">
      <c r="A1586" s="19" t="s">
        <v>4205</v>
      </c>
    </row>
    <row r="1587" spans="1:1" x14ac:dyDescent="0.25">
      <c r="A1587" s="19" t="s">
        <v>4206</v>
      </c>
    </row>
    <row r="1588" spans="1:1" x14ac:dyDescent="0.25">
      <c r="A1588" s="19" t="s">
        <v>4207</v>
      </c>
    </row>
    <row r="1589" spans="1:1" x14ac:dyDescent="0.25">
      <c r="A1589" s="19" t="s">
        <v>4208</v>
      </c>
    </row>
    <row r="1590" spans="1:1" x14ac:dyDescent="0.25">
      <c r="A1590" s="19" t="s">
        <v>4209</v>
      </c>
    </row>
    <row r="1591" spans="1:1" x14ac:dyDescent="0.25">
      <c r="A1591" s="19" t="s">
        <v>4210</v>
      </c>
    </row>
    <row r="1592" spans="1:1" x14ac:dyDescent="0.25">
      <c r="A1592" s="19" t="s">
        <v>4211</v>
      </c>
    </row>
    <row r="1593" spans="1:1" x14ac:dyDescent="0.25">
      <c r="A1593" s="19" t="s">
        <v>4212</v>
      </c>
    </row>
    <row r="1594" spans="1:1" x14ac:dyDescent="0.25">
      <c r="A1594" s="19" t="s">
        <v>4213</v>
      </c>
    </row>
    <row r="1595" spans="1:1" x14ac:dyDescent="0.25">
      <c r="A1595" s="19" t="s">
        <v>4214</v>
      </c>
    </row>
    <row r="1596" spans="1:1" x14ac:dyDescent="0.25">
      <c r="A1596" s="19" t="s">
        <v>4215</v>
      </c>
    </row>
    <row r="1597" spans="1:1" x14ac:dyDescent="0.25">
      <c r="A1597" s="19" t="s">
        <v>4216</v>
      </c>
    </row>
    <row r="1598" spans="1:1" x14ac:dyDescent="0.25">
      <c r="A1598" s="19" t="s">
        <v>4217</v>
      </c>
    </row>
    <row r="1599" spans="1:1" x14ac:dyDescent="0.25">
      <c r="A1599" s="19" t="s">
        <v>4218</v>
      </c>
    </row>
    <row r="1600" spans="1:1" x14ac:dyDescent="0.25">
      <c r="A1600" s="19" t="s">
        <v>4219</v>
      </c>
    </row>
    <row r="1601" spans="1:1" x14ac:dyDescent="0.25">
      <c r="A1601" s="19" t="s">
        <v>4220</v>
      </c>
    </row>
    <row r="1602" spans="1:1" x14ac:dyDescent="0.25">
      <c r="A1602" s="19" t="s">
        <v>4221</v>
      </c>
    </row>
    <row r="1603" spans="1:1" x14ac:dyDescent="0.25">
      <c r="A1603" s="19" t="s">
        <v>4222</v>
      </c>
    </row>
    <row r="1604" spans="1:1" x14ac:dyDescent="0.25">
      <c r="A1604" s="19" t="s">
        <v>4223</v>
      </c>
    </row>
    <row r="1605" spans="1:1" x14ac:dyDescent="0.25">
      <c r="A1605" s="19" t="s">
        <v>4224</v>
      </c>
    </row>
    <row r="1606" spans="1:1" x14ac:dyDescent="0.25">
      <c r="A1606" s="19" t="s">
        <v>4225</v>
      </c>
    </row>
    <row r="1607" spans="1:1" x14ac:dyDescent="0.25">
      <c r="A1607" s="19" t="s">
        <v>4226</v>
      </c>
    </row>
    <row r="1608" spans="1:1" x14ac:dyDescent="0.25">
      <c r="A1608" s="19" t="s">
        <v>4227</v>
      </c>
    </row>
    <row r="1609" spans="1:1" x14ac:dyDescent="0.25">
      <c r="A1609" s="19" t="s">
        <v>4228</v>
      </c>
    </row>
    <row r="1610" spans="1:1" x14ac:dyDescent="0.25">
      <c r="A1610" s="19" t="s">
        <v>4229</v>
      </c>
    </row>
    <row r="1611" spans="1:1" x14ac:dyDescent="0.25">
      <c r="A1611" s="19" t="s">
        <v>4230</v>
      </c>
    </row>
    <row r="1612" spans="1:1" x14ac:dyDescent="0.25">
      <c r="A1612" s="19" t="s">
        <v>4231</v>
      </c>
    </row>
    <row r="1613" spans="1:1" x14ac:dyDescent="0.25">
      <c r="A1613" s="19" t="s">
        <v>4232</v>
      </c>
    </row>
    <row r="1614" spans="1:1" x14ac:dyDescent="0.25">
      <c r="A1614" s="19" t="s">
        <v>4233</v>
      </c>
    </row>
    <row r="1615" spans="1:1" x14ac:dyDescent="0.25">
      <c r="A1615" s="19" t="s">
        <v>4234</v>
      </c>
    </row>
    <row r="1616" spans="1:1" x14ac:dyDescent="0.25">
      <c r="A1616" s="19" t="s">
        <v>4235</v>
      </c>
    </row>
    <row r="1617" spans="1:1" x14ac:dyDescent="0.25">
      <c r="A1617" s="19" t="s">
        <v>4236</v>
      </c>
    </row>
    <row r="1618" spans="1:1" x14ac:dyDescent="0.25">
      <c r="A1618" s="19" t="s">
        <v>4237</v>
      </c>
    </row>
    <row r="1619" spans="1:1" x14ac:dyDescent="0.25">
      <c r="A1619" s="19" t="s">
        <v>4238</v>
      </c>
    </row>
    <row r="1620" spans="1:1" x14ac:dyDescent="0.25">
      <c r="A1620" s="19" t="s">
        <v>4239</v>
      </c>
    </row>
    <row r="1621" spans="1:1" x14ac:dyDescent="0.25">
      <c r="A1621" s="19" t="s">
        <v>4240</v>
      </c>
    </row>
    <row r="1622" spans="1:1" x14ac:dyDescent="0.25">
      <c r="A1622" s="19" t="s">
        <v>4241</v>
      </c>
    </row>
    <row r="1623" spans="1:1" x14ac:dyDescent="0.25">
      <c r="A1623" s="19" t="s">
        <v>4242</v>
      </c>
    </row>
    <row r="1624" spans="1:1" x14ac:dyDescent="0.25">
      <c r="A1624" s="19" t="s">
        <v>4243</v>
      </c>
    </row>
    <row r="1625" spans="1:1" x14ac:dyDescent="0.25">
      <c r="A1625" s="19" t="s">
        <v>4244</v>
      </c>
    </row>
    <row r="1626" spans="1:1" x14ac:dyDescent="0.25">
      <c r="A1626" s="19" t="s">
        <v>4245</v>
      </c>
    </row>
    <row r="1627" spans="1:1" x14ac:dyDescent="0.25">
      <c r="A1627" s="19" t="s">
        <v>4246</v>
      </c>
    </row>
    <row r="1628" spans="1:1" x14ac:dyDescent="0.25">
      <c r="A1628" s="19" t="s">
        <v>4247</v>
      </c>
    </row>
    <row r="1629" spans="1:1" x14ac:dyDescent="0.25">
      <c r="A1629" s="19" t="s">
        <v>4248</v>
      </c>
    </row>
    <row r="1630" spans="1:1" x14ac:dyDescent="0.25">
      <c r="A1630" s="19" t="s">
        <v>4249</v>
      </c>
    </row>
    <row r="1631" spans="1:1" x14ac:dyDescent="0.25">
      <c r="A1631" s="19" t="s">
        <v>4250</v>
      </c>
    </row>
    <row r="1632" spans="1:1" x14ac:dyDescent="0.25">
      <c r="A1632" s="19" t="s">
        <v>4251</v>
      </c>
    </row>
    <row r="1633" spans="1:1" x14ac:dyDescent="0.25">
      <c r="A1633" s="19" t="s">
        <v>4252</v>
      </c>
    </row>
    <row r="1634" spans="1:1" x14ac:dyDescent="0.25">
      <c r="A1634" s="19" t="s">
        <v>4252</v>
      </c>
    </row>
    <row r="1635" spans="1:1" x14ac:dyDescent="0.25">
      <c r="A1635" s="19" t="s">
        <v>4253</v>
      </c>
    </row>
    <row r="1636" spans="1:1" x14ac:dyDescent="0.25">
      <c r="A1636" s="19" t="s">
        <v>4254</v>
      </c>
    </row>
    <row r="1637" spans="1:1" x14ac:dyDescent="0.25">
      <c r="A1637" s="19" t="s">
        <v>4255</v>
      </c>
    </row>
    <row r="1638" spans="1:1" x14ac:dyDescent="0.25">
      <c r="A1638" s="19" t="s">
        <v>4256</v>
      </c>
    </row>
    <row r="1639" spans="1:1" x14ac:dyDescent="0.25">
      <c r="A1639" s="19" t="s">
        <v>4257</v>
      </c>
    </row>
    <row r="1640" spans="1:1" x14ac:dyDescent="0.25">
      <c r="A1640" s="19" t="s">
        <v>4258</v>
      </c>
    </row>
    <row r="1641" spans="1:1" x14ac:dyDescent="0.25">
      <c r="A1641" s="19" t="s">
        <v>4259</v>
      </c>
    </row>
    <row r="1642" spans="1:1" x14ac:dyDescent="0.25">
      <c r="A1642" s="19" t="s">
        <v>4260</v>
      </c>
    </row>
    <row r="1643" spans="1:1" x14ac:dyDescent="0.25">
      <c r="A1643" s="19" t="s">
        <v>4261</v>
      </c>
    </row>
    <row r="1644" spans="1:1" x14ac:dyDescent="0.25">
      <c r="A1644" s="19" t="s">
        <v>4262</v>
      </c>
    </row>
    <row r="1645" spans="1:1" x14ac:dyDescent="0.25">
      <c r="A1645" s="19" t="s">
        <v>4263</v>
      </c>
    </row>
    <row r="1646" spans="1:1" x14ac:dyDescent="0.25">
      <c r="A1646" s="19" t="s">
        <v>4264</v>
      </c>
    </row>
    <row r="1647" spans="1:1" x14ac:dyDescent="0.25">
      <c r="A1647" s="19" t="s">
        <v>4265</v>
      </c>
    </row>
    <row r="1648" spans="1:1" x14ac:dyDescent="0.25">
      <c r="A1648" s="19" t="s">
        <v>4266</v>
      </c>
    </row>
    <row r="1649" spans="1:1" x14ac:dyDescent="0.25">
      <c r="A1649" s="19" t="s">
        <v>4267</v>
      </c>
    </row>
    <row r="1650" spans="1:1" x14ac:dyDescent="0.25">
      <c r="A1650" s="19" t="s">
        <v>4268</v>
      </c>
    </row>
    <row r="1651" spans="1:1" x14ac:dyDescent="0.25">
      <c r="A1651" s="19" t="s">
        <v>4269</v>
      </c>
    </row>
    <row r="1652" spans="1:1" x14ac:dyDescent="0.25">
      <c r="A1652" s="19" t="s">
        <v>4270</v>
      </c>
    </row>
    <row r="1653" spans="1:1" x14ac:dyDescent="0.25">
      <c r="A1653" s="19" t="s">
        <v>4271</v>
      </c>
    </row>
    <row r="1654" spans="1:1" x14ac:dyDescent="0.25">
      <c r="A1654" s="19" t="s">
        <v>4272</v>
      </c>
    </row>
    <row r="1655" spans="1:1" x14ac:dyDescent="0.25">
      <c r="A1655" s="19" t="s">
        <v>4273</v>
      </c>
    </row>
    <row r="1656" spans="1:1" x14ac:dyDescent="0.25">
      <c r="A1656" s="19" t="s">
        <v>4274</v>
      </c>
    </row>
    <row r="1657" spans="1:1" x14ac:dyDescent="0.25">
      <c r="A1657" s="19" t="s">
        <v>4275</v>
      </c>
    </row>
    <row r="1658" spans="1:1" x14ac:dyDescent="0.25">
      <c r="A1658" s="19" t="s">
        <v>4276</v>
      </c>
    </row>
    <row r="1659" spans="1:1" x14ac:dyDescent="0.25">
      <c r="A1659" s="19" t="s">
        <v>4277</v>
      </c>
    </row>
    <row r="1660" spans="1:1" x14ac:dyDescent="0.25">
      <c r="A1660" s="19" t="s">
        <v>4278</v>
      </c>
    </row>
    <row r="1661" spans="1:1" x14ac:dyDescent="0.25">
      <c r="A1661" s="19" t="s">
        <v>4279</v>
      </c>
    </row>
    <row r="1662" spans="1:1" x14ac:dyDescent="0.25">
      <c r="A1662" s="19" t="s">
        <v>4280</v>
      </c>
    </row>
    <row r="1663" spans="1:1" x14ac:dyDescent="0.25">
      <c r="A1663" s="19" t="s">
        <v>4281</v>
      </c>
    </row>
    <row r="1664" spans="1:1" x14ac:dyDescent="0.25">
      <c r="A1664" s="19" t="s">
        <v>4282</v>
      </c>
    </row>
    <row r="1665" spans="1:1" x14ac:dyDescent="0.25">
      <c r="A1665" s="19" t="s">
        <v>4283</v>
      </c>
    </row>
    <row r="1666" spans="1:1" x14ac:dyDescent="0.25">
      <c r="A1666" s="19" t="s">
        <v>4284</v>
      </c>
    </row>
    <row r="1667" spans="1:1" x14ac:dyDescent="0.25">
      <c r="A1667" s="19" t="s">
        <v>4285</v>
      </c>
    </row>
    <row r="1668" spans="1:1" x14ac:dyDescent="0.25">
      <c r="A1668" s="19" t="s">
        <v>4286</v>
      </c>
    </row>
    <row r="1669" spans="1:1" x14ac:dyDescent="0.25">
      <c r="A1669" s="19" t="s">
        <v>4287</v>
      </c>
    </row>
    <row r="1670" spans="1:1" x14ac:dyDescent="0.25">
      <c r="A1670" s="19" t="s">
        <v>4288</v>
      </c>
    </row>
    <row r="1671" spans="1:1" x14ac:dyDescent="0.25">
      <c r="A1671" s="19" t="s">
        <v>4289</v>
      </c>
    </row>
    <row r="1672" spans="1:1" x14ac:dyDescent="0.25">
      <c r="A1672" s="19" t="s">
        <v>4290</v>
      </c>
    </row>
    <row r="1673" spans="1:1" x14ac:dyDescent="0.25">
      <c r="A1673" s="19" t="s">
        <v>4291</v>
      </c>
    </row>
    <row r="1674" spans="1:1" x14ac:dyDescent="0.25">
      <c r="A1674" s="19" t="s">
        <v>4292</v>
      </c>
    </row>
    <row r="1675" spans="1:1" x14ac:dyDescent="0.25">
      <c r="A1675" s="19" t="s">
        <v>4293</v>
      </c>
    </row>
    <row r="1676" spans="1:1" x14ac:dyDescent="0.25">
      <c r="A1676" s="19" t="s">
        <v>4294</v>
      </c>
    </row>
    <row r="1677" spans="1:1" x14ac:dyDescent="0.25">
      <c r="A1677" s="19" t="s">
        <v>4295</v>
      </c>
    </row>
    <row r="1678" spans="1:1" x14ac:dyDescent="0.25">
      <c r="A1678" s="19" t="s">
        <v>4296</v>
      </c>
    </row>
    <row r="1679" spans="1:1" x14ac:dyDescent="0.25">
      <c r="A1679" s="19" t="s">
        <v>4297</v>
      </c>
    </row>
    <row r="1680" spans="1:1" x14ac:dyDescent="0.25">
      <c r="A1680" s="19" t="s">
        <v>4298</v>
      </c>
    </row>
    <row r="1681" spans="1:1" x14ac:dyDescent="0.25">
      <c r="A1681" s="19" t="s">
        <v>4299</v>
      </c>
    </row>
    <row r="1682" spans="1:1" x14ac:dyDescent="0.25">
      <c r="A1682" s="19" t="s">
        <v>4300</v>
      </c>
    </row>
    <row r="1683" spans="1:1" x14ac:dyDescent="0.25">
      <c r="A1683" s="19" t="s">
        <v>4301</v>
      </c>
    </row>
    <row r="1684" spans="1:1" x14ac:dyDescent="0.25">
      <c r="A1684" s="19" t="s">
        <v>4302</v>
      </c>
    </row>
    <row r="1685" spans="1:1" x14ac:dyDescent="0.25">
      <c r="A1685" s="19" t="s">
        <v>4303</v>
      </c>
    </row>
    <row r="1686" spans="1:1" x14ac:dyDescent="0.25">
      <c r="A1686" s="19" t="s">
        <v>4304</v>
      </c>
    </row>
    <row r="1687" spans="1:1" x14ac:dyDescent="0.25">
      <c r="A1687" s="19" t="s">
        <v>4305</v>
      </c>
    </row>
    <row r="1688" spans="1:1" x14ac:dyDescent="0.25">
      <c r="A1688" s="19" t="s">
        <v>4306</v>
      </c>
    </row>
    <row r="1689" spans="1:1" x14ac:dyDescent="0.25">
      <c r="A1689" s="19" t="s">
        <v>4307</v>
      </c>
    </row>
    <row r="1690" spans="1:1" x14ac:dyDescent="0.25">
      <c r="A1690" s="19" t="s">
        <v>4308</v>
      </c>
    </row>
    <row r="1691" spans="1:1" x14ac:dyDescent="0.25">
      <c r="A1691" s="19" t="s">
        <v>4309</v>
      </c>
    </row>
    <row r="1692" spans="1:1" x14ac:dyDescent="0.25">
      <c r="A1692" s="19" t="s">
        <v>4310</v>
      </c>
    </row>
    <row r="1693" spans="1:1" x14ac:dyDescent="0.25">
      <c r="A1693" s="19" t="s">
        <v>4311</v>
      </c>
    </row>
    <row r="1694" spans="1:1" x14ac:dyDescent="0.25">
      <c r="A1694" s="19" t="s">
        <v>4312</v>
      </c>
    </row>
    <row r="1695" spans="1:1" x14ac:dyDescent="0.25">
      <c r="A1695" s="19" t="s">
        <v>4313</v>
      </c>
    </row>
    <row r="1696" spans="1:1" x14ac:dyDescent="0.25">
      <c r="A1696" s="19" t="s">
        <v>4314</v>
      </c>
    </row>
    <row r="1697" spans="1:1" x14ac:dyDescent="0.25">
      <c r="A1697" s="19" t="s">
        <v>4315</v>
      </c>
    </row>
    <row r="1698" spans="1:1" x14ac:dyDescent="0.25">
      <c r="A1698" s="19" t="s">
        <v>4316</v>
      </c>
    </row>
    <row r="1699" spans="1:1" x14ac:dyDescent="0.25">
      <c r="A1699" s="19" t="s">
        <v>4317</v>
      </c>
    </row>
    <row r="1700" spans="1:1" x14ac:dyDescent="0.25">
      <c r="A1700" s="19" t="s">
        <v>4318</v>
      </c>
    </row>
    <row r="1701" spans="1:1" x14ac:dyDescent="0.25">
      <c r="A1701" s="19" t="s">
        <v>4319</v>
      </c>
    </row>
    <row r="1702" spans="1:1" x14ac:dyDescent="0.25">
      <c r="A1702" s="19" t="s">
        <v>4320</v>
      </c>
    </row>
    <row r="1703" spans="1:1" x14ac:dyDescent="0.25">
      <c r="A1703" s="19" t="s">
        <v>4321</v>
      </c>
    </row>
    <row r="1704" spans="1:1" x14ac:dyDescent="0.25">
      <c r="A1704" s="19" t="s">
        <v>4322</v>
      </c>
    </row>
    <row r="1705" spans="1:1" x14ac:dyDescent="0.25">
      <c r="A1705" s="19" t="s">
        <v>4323</v>
      </c>
    </row>
    <row r="1706" spans="1:1" x14ac:dyDescent="0.25">
      <c r="A1706" s="19" t="s">
        <v>4323</v>
      </c>
    </row>
    <row r="1707" spans="1:1" x14ac:dyDescent="0.25">
      <c r="A1707" s="19" t="s">
        <v>4323</v>
      </c>
    </row>
    <row r="1708" spans="1:1" x14ac:dyDescent="0.25">
      <c r="A1708" s="19" t="s">
        <v>4324</v>
      </c>
    </row>
    <row r="1709" spans="1:1" x14ac:dyDescent="0.25">
      <c r="A1709" s="19" t="s">
        <v>4325</v>
      </c>
    </row>
    <row r="1710" spans="1:1" x14ac:dyDescent="0.25">
      <c r="A1710" s="19" t="s">
        <v>4326</v>
      </c>
    </row>
    <row r="1711" spans="1:1" x14ac:dyDescent="0.25">
      <c r="A1711" s="19" t="s">
        <v>4327</v>
      </c>
    </row>
    <row r="1712" spans="1:1" x14ac:dyDescent="0.25">
      <c r="A1712" s="19" t="s">
        <v>4328</v>
      </c>
    </row>
    <row r="1713" spans="1:1" x14ac:dyDescent="0.25">
      <c r="A1713" s="19" t="s">
        <v>4329</v>
      </c>
    </row>
    <row r="1714" spans="1:1" x14ac:dyDescent="0.25">
      <c r="A1714" s="19" t="s">
        <v>4330</v>
      </c>
    </row>
    <row r="1715" spans="1:1" x14ac:dyDescent="0.25">
      <c r="A1715" s="19" t="s">
        <v>4331</v>
      </c>
    </row>
    <row r="1716" spans="1:1" x14ac:dyDescent="0.25">
      <c r="A1716" s="19" t="s">
        <v>4332</v>
      </c>
    </row>
    <row r="1717" spans="1:1" x14ac:dyDescent="0.25">
      <c r="A1717" s="19" t="s">
        <v>4333</v>
      </c>
    </row>
    <row r="1718" spans="1:1" x14ac:dyDescent="0.25">
      <c r="A1718" s="19" t="s">
        <v>4334</v>
      </c>
    </row>
    <row r="1719" spans="1:1" x14ac:dyDescent="0.25">
      <c r="A1719" s="19" t="s">
        <v>4335</v>
      </c>
    </row>
    <row r="1720" spans="1:1" x14ac:dyDescent="0.25">
      <c r="A1720" s="19" t="s">
        <v>4336</v>
      </c>
    </row>
    <row r="1721" spans="1:1" x14ac:dyDescent="0.25">
      <c r="A1721" s="19" t="s">
        <v>4337</v>
      </c>
    </row>
    <row r="1722" spans="1:1" x14ac:dyDescent="0.25">
      <c r="A1722" s="19" t="s">
        <v>4338</v>
      </c>
    </row>
    <row r="1723" spans="1:1" x14ac:dyDescent="0.25">
      <c r="A1723" s="19" t="s">
        <v>4339</v>
      </c>
    </row>
    <row r="1724" spans="1:1" x14ac:dyDescent="0.25">
      <c r="A1724" s="19" t="s">
        <v>4340</v>
      </c>
    </row>
    <row r="1725" spans="1:1" x14ac:dyDescent="0.25">
      <c r="A1725" s="19" t="s">
        <v>4341</v>
      </c>
    </row>
    <row r="1726" spans="1:1" x14ac:dyDescent="0.25">
      <c r="A1726" s="19" t="s">
        <v>4342</v>
      </c>
    </row>
    <row r="1727" spans="1:1" x14ac:dyDescent="0.25">
      <c r="A1727" s="19" t="s">
        <v>4343</v>
      </c>
    </row>
    <row r="1728" spans="1:1" x14ac:dyDescent="0.25">
      <c r="A1728" s="19" t="s">
        <v>4344</v>
      </c>
    </row>
    <row r="1729" spans="1:1" x14ac:dyDescent="0.25">
      <c r="A1729" s="19" t="s">
        <v>4345</v>
      </c>
    </row>
    <row r="1730" spans="1:1" x14ac:dyDescent="0.25">
      <c r="A1730" s="19" t="s">
        <v>4346</v>
      </c>
    </row>
    <row r="1731" spans="1:1" x14ac:dyDescent="0.25">
      <c r="A1731" s="19" t="s">
        <v>4347</v>
      </c>
    </row>
    <row r="1732" spans="1:1" x14ac:dyDescent="0.25">
      <c r="A1732" s="19" t="s">
        <v>4348</v>
      </c>
    </row>
    <row r="1733" spans="1:1" x14ac:dyDescent="0.25">
      <c r="A1733" s="19" t="s">
        <v>4349</v>
      </c>
    </row>
    <row r="1734" spans="1:1" x14ac:dyDescent="0.25">
      <c r="A1734" s="19" t="s">
        <v>4350</v>
      </c>
    </row>
    <row r="1735" spans="1:1" x14ac:dyDescent="0.25">
      <c r="A1735" s="19" t="s">
        <v>4351</v>
      </c>
    </row>
    <row r="1736" spans="1:1" x14ac:dyDescent="0.25">
      <c r="A1736" s="19" t="s">
        <v>4352</v>
      </c>
    </row>
    <row r="1737" spans="1:1" x14ac:dyDescent="0.25">
      <c r="A1737" s="19" t="s">
        <v>4353</v>
      </c>
    </row>
    <row r="1738" spans="1:1" x14ac:dyDescent="0.25">
      <c r="A1738" s="19" t="s">
        <v>4354</v>
      </c>
    </row>
    <row r="1739" spans="1:1" x14ac:dyDescent="0.25">
      <c r="A1739" s="19" t="s">
        <v>4355</v>
      </c>
    </row>
    <row r="1740" spans="1:1" x14ac:dyDescent="0.25">
      <c r="A1740" s="19" t="s">
        <v>4356</v>
      </c>
    </row>
    <row r="1741" spans="1:1" x14ac:dyDescent="0.25">
      <c r="A1741" s="19" t="s">
        <v>4357</v>
      </c>
    </row>
    <row r="1742" spans="1:1" x14ac:dyDescent="0.25">
      <c r="A1742" s="19" t="s">
        <v>4358</v>
      </c>
    </row>
    <row r="1743" spans="1:1" x14ac:dyDescent="0.25">
      <c r="A1743" s="19" t="s">
        <v>4359</v>
      </c>
    </row>
    <row r="1744" spans="1:1" x14ac:dyDescent="0.25">
      <c r="A1744" s="19" t="s">
        <v>4360</v>
      </c>
    </row>
    <row r="1745" spans="1:1" x14ac:dyDescent="0.25">
      <c r="A1745" s="19" t="s">
        <v>4361</v>
      </c>
    </row>
    <row r="1746" spans="1:1" x14ac:dyDescent="0.25">
      <c r="A1746" s="19" t="s">
        <v>4362</v>
      </c>
    </row>
    <row r="1747" spans="1:1" x14ac:dyDescent="0.25">
      <c r="A1747" s="19" t="s">
        <v>4363</v>
      </c>
    </row>
    <row r="1748" spans="1:1" x14ac:dyDescent="0.25">
      <c r="A1748" s="19" t="s">
        <v>4364</v>
      </c>
    </row>
    <row r="1749" spans="1:1" x14ac:dyDescent="0.25">
      <c r="A1749" s="19" t="s">
        <v>4365</v>
      </c>
    </row>
    <row r="1750" spans="1:1" x14ac:dyDescent="0.25">
      <c r="A1750" s="19" t="s">
        <v>4366</v>
      </c>
    </row>
    <row r="1751" spans="1:1" x14ac:dyDescent="0.25">
      <c r="A1751" s="19" t="s">
        <v>4367</v>
      </c>
    </row>
    <row r="1752" spans="1:1" x14ac:dyDescent="0.25">
      <c r="A1752" s="19" t="s">
        <v>4368</v>
      </c>
    </row>
    <row r="1753" spans="1:1" x14ac:dyDescent="0.25">
      <c r="A1753" s="19" t="s">
        <v>4368</v>
      </c>
    </row>
    <row r="1754" spans="1:1" x14ac:dyDescent="0.25">
      <c r="A1754" s="19" t="s">
        <v>4369</v>
      </c>
    </row>
    <row r="1755" spans="1:1" x14ac:dyDescent="0.25">
      <c r="A1755" s="19" t="s">
        <v>4370</v>
      </c>
    </row>
    <row r="1756" spans="1:1" x14ac:dyDescent="0.25">
      <c r="A1756" s="19" t="s">
        <v>4371</v>
      </c>
    </row>
    <row r="1757" spans="1:1" x14ac:dyDescent="0.25">
      <c r="A1757" s="19" t="s">
        <v>4372</v>
      </c>
    </row>
    <row r="1758" spans="1:1" x14ac:dyDescent="0.25">
      <c r="A1758" s="19" t="s">
        <v>4373</v>
      </c>
    </row>
    <row r="1759" spans="1:1" x14ac:dyDescent="0.25">
      <c r="A1759" s="19" t="s">
        <v>4374</v>
      </c>
    </row>
    <row r="1760" spans="1:1" x14ac:dyDescent="0.25">
      <c r="A1760" s="19" t="s">
        <v>4375</v>
      </c>
    </row>
    <row r="1761" spans="1:1" x14ac:dyDescent="0.25">
      <c r="A1761" s="19" t="s">
        <v>4376</v>
      </c>
    </row>
    <row r="1762" spans="1:1" x14ac:dyDescent="0.25">
      <c r="A1762" s="19" t="s">
        <v>4377</v>
      </c>
    </row>
    <row r="1763" spans="1:1" x14ac:dyDescent="0.25">
      <c r="A1763" s="19" t="s">
        <v>4378</v>
      </c>
    </row>
    <row r="1764" spans="1:1" x14ac:dyDescent="0.25">
      <c r="A1764" s="19" t="s">
        <v>4379</v>
      </c>
    </row>
    <row r="1765" spans="1:1" x14ac:dyDescent="0.25">
      <c r="A1765" s="19" t="s">
        <v>4380</v>
      </c>
    </row>
    <row r="1766" spans="1:1" x14ac:dyDescent="0.25">
      <c r="A1766" s="19" t="s">
        <v>4381</v>
      </c>
    </row>
    <row r="1767" spans="1:1" x14ac:dyDescent="0.25">
      <c r="A1767" s="19" t="s">
        <v>4382</v>
      </c>
    </row>
    <row r="1768" spans="1:1" x14ac:dyDescent="0.25">
      <c r="A1768" s="19" t="s">
        <v>4383</v>
      </c>
    </row>
    <row r="1769" spans="1:1" x14ac:dyDescent="0.25">
      <c r="A1769" s="19" t="s">
        <v>4384</v>
      </c>
    </row>
    <row r="1770" spans="1:1" x14ac:dyDescent="0.25">
      <c r="A1770" s="19" t="s">
        <v>4385</v>
      </c>
    </row>
    <row r="1771" spans="1:1" x14ac:dyDescent="0.25">
      <c r="A1771" s="19" t="s">
        <v>4386</v>
      </c>
    </row>
    <row r="1772" spans="1:1" x14ac:dyDescent="0.25">
      <c r="A1772" s="19" t="s">
        <v>4387</v>
      </c>
    </row>
    <row r="1773" spans="1:1" x14ac:dyDescent="0.25">
      <c r="A1773" s="19" t="s">
        <v>4388</v>
      </c>
    </row>
    <row r="1774" spans="1:1" x14ac:dyDescent="0.25">
      <c r="A1774" s="19" t="s">
        <v>4389</v>
      </c>
    </row>
    <row r="1775" spans="1:1" x14ac:dyDescent="0.25">
      <c r="A1775" s="19" t="s">
        <v>4390</v>
      </c>
    </row>
    <row r="1776" spans="1:1" x14ac:dyDescent="0.25">
      <c r="A1776" s="19" t="s">
        <v>4391</v>
      </c>
    </row>
    <row r="1777" spans="1:1" x14ac:dyDescent="0.25">
      <c r="A1777" s="19" t="s">
        <v>4392</v>
      </c>
    </row>
    <row r="1778" spans="1:1" x14ac:dyDescent="0.25">
      <c r="A1778" s="19" t="s">
        <v>4393</v>
      </c>
    </row>
    <row r="1779" spans="1:1" x14ac:dyDescent="0.25">
      <c r="A1779" s="19" t="s">
        <v>4394</v>
      </c>
    </row>
    <row r="1780" spans="1:1" x14ac:dyDescent="0.25">
      <c r="A1780" s="19" t="s">
        <v>4395</v>
      </c>
    </row>
    <row r="1781" spans="1:1" x14ac:dyDescent="0.25">
      <c r="A1781" s="19" t="s">
        <v>4396</v>
      </c>
    </row>
    <row r="1782" spans="1:1" x14ac:dyDescent="0.25">
      <c r="A1782" s="19" t="s">
        <v>4397</v>
      </c>
    </row>
    <row r="1783" spans="1:1" x14ac:dyDescent="0.25">
      <c r="A1783" s="19" t="s">
        <v>4397</v>
      </c>
    </row>
    <row r="1784" spans="1:1" x14ac:dyDescent="0.25">
      <c r="A1784" s="19" t="s">
        <v>4398</v>
      </c>
    </row>
    <row r="1785" spans="1:1" x14ac:dyDescent="0.25">
      <c r="A1785" s="19" t="s">
        <v>4399</v>
      </c>
    </row>
    <row r="1786" spans="1:1" x14ac:dyDescent="0.25">
      <c r="A1786" s="19" t="s">
        <v>4400</v>
      </c>
    </row>
    <row r="1787" spans="1:1" x14ac:dyDescent="0.25">
      <c r="A1787" s="19" t="s">
        <v>4401</v>
      </c>
    </row>
    <row r="1788" spans="1:1" x14ac:dyDescent="0.25">
      <c r="A1788" s="19" t="s">
        <v>4402</v>
      </c>
    </row>
    <row r="1789" spans="1:1" x14ac:dyDescent="0.25">
      <c r="A1789" s="19" t="s">
        <v>4403</v>
      </c>
    </row>
    <row r="1790" spans="1:1" x14ac:dyDescent="0.25">
      <c r="A1790" s="19" t="s">
        <v>4404</v>
      </c>
    </row>
    <row r="1791" spans="1:1" x14ac:dyDescent="0.25">
      <c r="A1791" s="19" t="s">
        <v>4405</v>
      </c>
    </row>
    <row r="1792" spans="1:1" x14ac:dyDescent="0.25">
      <c r="A1792" s="19" t="s">
        <v>4406</v>
      </c>
    </row>
    <row r="1793" spans="1:1" x14ac:dyDescent="0.25">
      <c r="A1793" s="19" t="s">
        <v>4407</v>
      </c>
    </row>
    <row r="1794" spans="1:1" x14ac:dyDescent="0.25">
      <c r="A1794" s="19" t="s">
        <v>4408</v>
      </c>
    </row>
    <row r="1795" spans="1:1" x14ac:dyDescent="0.25">
      <c r="A1795" s="19" t="s">
        <v>4409</v>
      </c>
    </row>
    <row r="1796" spans="1:1" x14ac:dyDescent="0.25">
      <c r="A1796" s="19" t="s">
        <v>4410</v>
      </c>
    </row>
    <row r="1797" spans="1:1" x14ac:dyDescent="0.25">
      <c r="A1797" s="19" t="s">
        <v>4411</v>
      </c>
    </row>
    <row r="1798" spans="1:1" x14ac:dyDescent="0.25">
      <c r="A1798" s="19" t="s">
        <v>4412</v>
      </c>
    </row>
    <row r="1799" spans="1:1" x14ac:dyDescent="0.25">
      <c r="A1799" s="19" t="s">
        <v>4413</v>
      </c>
    </row>
    <row r="1800" spans="1:1" x14ac:dyDescent="0.25">
      <c r="A1800" s="19" t="s">
        <v>4414</v>
      </c>
    </row>
    <row r="1801" spans="1:1" x14ac:dyDescent="0.25">
      <c r="A1801" s="19" t="s">
        <v>4415</v>
      </c>
    </row>
    <row r="1802" spans="1:1" x14ac:dyDescent="0.25">
      <c r="A1802" s="19" t="s">
        <v>4416</v>
      </c>
    </row>
    <row r="1803" spans="1:1" x14ac:dyDescent="0.25">
      <c r="A1803" s="19" t="s">
        <v>4417</v>
      </c>
    </row>
    <row r="1804" spans="1:1" x14ac:dyDescent="0.25">
      <c r="A1804" s="19" t="s">
        <v>4418</v>
      </c>
    </row>
    <row r="1805" spans="1:1" x14ac:dyDescent="0.25">
      <c r="A1805" s="19" t="s">
        <v>4419</v>
      </c>
    </row>
    <row r="1806" spans="1:1" x14ac:dyDescent="0.25">
      <c r="A1806" s="19" t="s">
        <v>4420</v>
      </c>
    </row>
    <row r="1807" spans="1:1" x14ac:dyDescent="0.25">
      <c r="A1807" s="19" t="s">
        <v>4421</v>
      </c>
    </row>
    <row r="1808" spans="1:1" x14ac:dyDescent="0.25">
      <c r="A1808" s="19" t="s">
        <v>4422</v>
      </c>
    </row>
    <row r="1809" spans="1:1" x14ac:dyDescent="0.25">
      <c r="A1809" s="19" t="s">
        <v>4423</v>
      </c>
    </row>
    <row r="1810" spans="1:1" x14ac:dyDescent="0.25">
      <c r="A1810" s="19" t="s">
        <v>4424</v>
      </c>
    </row>
    <row r="1811" spans="1:1" x14ac:dyDescent="0.25">
      <c r="A1811" s="19" t="s">
        <v>4425</v>
      </c>
    </row>
    <row r="1812" spans="1:1" x14ac:dyDescent="0.25">
      <c r="A1812" s="19" t="s">
        <v>4426</v>
      </c>
    </row>
    <row r="1813" spans="1:1" x14ac:dyDescent="0.25">
      <c r="A1813" s="19" t="s">
        <v>4427</v>
      </c>
    </row>
    <row r="1814" spans="1:1" x14ac:dyDescent="0.25">
      <c r="A1814" s="19" t="s">
        <v>4428</v>
      </c>
    </row>
    <row r="1815" spans="1:1" x14ac:dyDescent="0.25">
      <c r="A1815" s="19" t="s">
        <v>4429</v>
      </c>
    </row>
    <row r="1816" spans="1:1" x14ac:dyDescent="0.25">
      <c r="A1816" s="19" t="s">
        <v>4430</v>
      </c>
    </row>
    <row r="1817" spans="1:1" x14ac:dyDescent="0.25">
      <c r="A1817" s="19" t="s">
        <v>4431</v>
      </c>
    </row>
    <row r="1818" spans="1:1" x14ac:dyDescent="0.25">
      <c r="A1818" s="19" t="s">
        <v>4432</v>
      </c>
    </row>
    <row r="1819" spans="1:1" x14ac:dyDescent="0.25">
      <c r="A1819" s="19" t="s">
        <v>4433</v>
      </c>
    </row>
    <row r="1820" spans="1:1" x14ac:dyDescent="0.25">
      <c r="A1820" s="19" t="s">
        <v>4434</v>
      </c>
    </row>
    <row r="1821" spans="1:1" x14ac:dyDescent="0.25">
      <c r="A1821" s="19" t="s">
        <v>4435</v>
      </c>
    </row>
    <row r="1822" spans="1:1" x14ac:dyDescent="0.25">
      <c r="A1822" s="19" t="s">
        <v>4436</v>
      </c>
    </row>
    <row r="1823" spans="1:1" x14ac:dyDescent="0.25">
      <c r="A1823" s="19" t="s">
        <v>4437</v>
      </c>
    </row>
    <row r="1824" spans="1:1" x14ac:dyDescent="0.25">
      <c r="A1824" s="19" t="s">
        <v>4438</v>
      </c>
    </row>
    <row r="1825" spans="1:1" x14ac:dyDescent="0.25">
      <c r="A1825" s="19" t="s">
        <v>4439</v>
      </c>
    </row>
    <row r="1826" spans="1:1" x14ac:dyDescent="0.25">
      <c r="A1826" s="19" t="s">
        <v>4440</v>
      </c>
    </row>
    <row r="1827" spans="1:1" x14ac:dyDescent="0.25">
      <c r="A1827" s="19" t="s">
        <v>4441</v>
      </c>
    </row>
    <row r="1828" spans="1:1" x14ac:dyDescent="0.25">
      <c r="A1828" s="19" t="s">
        <v>4442</v>
      </c>
    </row>
    <row r="1829" spans="1:1" x14ac:dyDescent="0.25">
      <c r="A1829" s="19" t="s">
        <v>4443</v>
      </c>
    </row>
    <row r="1830" spans="1:1" x14ac:dyDescent="0.25">
      <c r="A1830" s="19" t="s">
        <v>4444</v>
      </c>
    </row>
    <row r="1831" spans="1:1" x14ac:dyDescent="0.25">
      <c r="A1831" s="19" t="s">
        <v>4445</v>
      </c>
    </row>
    <row r="1832" spans="1:1" x14ac:dyDescent="0.25">
      <c r="A1832" s="19" t="s">
        <v>4446</v>
      </c>
    </row>
    <row r="1833" spans="1:1" x14ac:dyDescent="0.25">
      <c r="A1833" s="19" t="s">
        <v>4447</v>
      </c>
    </row>
    <row r="1834" spans="1:1" x14ac:dyDescent="0.25">
      <c r="A1834" s="19" t="s">
        <v>4448</v>
      </c>
    </row>
    <row r="1835" spans="1:1" x14ac:dyDescent="0.25">
      <c r="A1835" s="19" t="s">
        <v>4449</v>
      </c>
    </row>
    <row r="1836" spans="1:1" x14ac:dyDescent="0.25">
      <c r="A1836" s="19" t="s">
        <v>4450</v>
      </c>
    </row>
    <row r="1837" spans="1:1" x14ac:dyDescent="0.25">
      <c r="A1837" s="19" t="s">
        <v>4451</v>
      </c>
    </row>
    <row r="1838" spans="1:1" x14ac:dyDescent="0.25">
      <c r="A1838" s="19" t="s">
        <v>4452</v>
      </c>
    </row>
    <row r="1839" spans="1:1" x14ac:dyDescent="0.25">
      <c r="A1839" s="19" t="s">
        <v>4453</v>
      </c>
    </row>
    <row r="1840" spans="1:1" x14ac:dyDescent="0.25">
      <c r="A1840" s="19" t="s">
        <v>4454</v>
      </c>
    </row>
    <row r="1841" spans="1:1" x14ac:dyDescent="0.25">
      <c r="A1841" s="19" t="s">
        <v>4455</v>
      </c>
    </row>
    <row r="1842" spans="1:1" x14ac:dyDescent="0.25">
      <c r="A1842" s="19" t="s">
        <v>4456</v>
      </c>
    </row>
    <row r="1843" spans="1:1" x14ac:dyDescent="0.25">
      <c r="A1843" s="19" t="s">
        <v>4457</v>
      </c>
    </row>
    <row r="1844" spans="1:1" x14ac:dyDescent="0.25">
      <c r="A1844" s="19" t="s">
        <v>4458</v>
      </c>
    </row>
    <row r="1845" spans="1:1" x14ac:dyDescent="0.25">
      <c r="A1845" s="19" t="s">
        <v>4459</v>
      </c>
    </row>
    <row r="1846" spans="1:1" x14ac:dyDescent="0.25">
      <c r="A1846" s="19" t="s">
        <v>4460</v>
      </c>
    </row>
    <row r="1847" spans="1:1" x14ac:dyDescent="0.25">
      <c r="A1847" s="19" t="s">
        <v>4461</v>
      </c>
    </row>
    <row r="1848" spans="1:1" x14ac:dyDescent="0.25">
      <c r="A1848" s="19" t="s">
        <v>4462</v>
      </c>
    </row>
    <row r="1849" spans="1:1" x14ac:dyDescent="0.25">
      <c r="A1849" s="19" t="s">
        <v>4463</v>
      </c>
    </row>
    <row r="1850" spans="1:1" x14ac:dyDescent="0.25">
      <c r="A1850" s="19" t="s">
        <v>4464</v>
      </c>
    </row>
    <row r="1851" spans="1:1" x14ac:dyDescent="0.25">
      <c r="A1851" s="19" t="s">
        <v>4465</v>
      </c>
    </row>
    <row r="1852" spans="1:1" x14ac:dyDescent="0.25">
      <c r="A1852" s="19" t="s">
        <v>4466</v>
      </c>
    </row>
    <row r="1853" spans="1:1" x14ac:dyDescent="0.25">
      <c r="A1853" s="19" t="s">
        <v>4467</v>
      </c>
    </row>
    <row r="1854" spans="1:1" x14ac:dyDescent="0.25">
      <c r="A1854" s="19" t="s">
        <v>4468</v>
      </c>
    </row>
    <row r="1855" spans="1:1" x14ac:dyDescent="0.25">
      <c r="A1855" s="19" t="s">
        <v>4469</v>
      </c>
    </row>
    <row r="1856" spans="1:1" x14ac:dyDescent="0.25">
      <c r="A1856" s="19" t="s">
        <v>4470</v>
      </c>
    </row>
    <row r="1857" spans="1:1" x14ac:dyDescent="0.25">
      <c r="A1857" s="19" t="s">
        <v>4471</v>
      </c>
    </row>
    <row r="1858" spans="1:1" x14ac:dyDescent="0.25">
      <c r="A1858" s="19" t="s">
        <v>4472</v>
      </c>
    </row>
    <row r="1859" spans="1:1" x14ac:dyDescent="0.25">
      <c r="A1859" s="19" t="s">
        <v>4473</v>
      </c>
    </row>
    <row r="1860" spans="1:1" x14ac:dyDescent="0.25">
      <c r="A1860" s="19" t="s">
        <v>4474</v>
      </c>
    </row>
    <row r="1861" spans="1:1" x14ac:dyDescent="0.25">
      <c r="A1861" s="19" t="s">
        <v>4475</v>
      </c>
    </row>
    <row r="1862" spans="1:1" x14ac:dyDescent="0.25">
      <c r="A1862" s="19" t="s">
        <v>4476</v>
      </c>
    </row>
    <row r="1863" spans="1:1" x14ac:dyDescent="0.25">
      <c r="A1863" s="19" t="s">
        <v>4477</v>
      </c>
    </row>
    <row r="1864" spans="1:1" x14ac:dyDescent="0.25">
      <c r="A1864" s="19" t="s">
        <v>4478</v>
      </c>
    </row>
    <row r="1865" spans="1:1" x14ac:dyDescent="0.25">
      <c r="A1865" s="19" t="s">
        <v>4479</v>
      </c>
    </row>
    <row r="1866" spans="1:1" x14ac:dyDescent="0.25">
      <c r="A1866" s="19" t="s">
        <v>4480</v>
      </c>
    </row>
    <row r="1867" spans="1:1" x14ac:dyDescent="0.25">
      <c r="A1867" s="19" t="s">
        <v>4481</v>
      </c>
    </row>
    <row r="1868" spans="1:1" x14ac:dyDescent="0.25">
      <c r="A1868" s="19" t="s">
        <v>4482</v>
      </c>
    </row>
    <row r="1869" spans="1:1" x14ac:dyDescent="0.25">
      <c r="A1869" s="19" t="s">
        <v>4483</v>
      </c>
    </row>
    <row r="1870" spans="1:1" x14ac:dyDescent="0.25">
      <c r="A1870" s="19" t="s">
        <v>4484</v>
      </c>
    </row>
    <row r="1871" spans="1:1" x14ac:dyDescent="0.25">
      <c r="A1871" s="19" t="s">
        <v>4485</v>
      </c>
    </row>
    <row r="1872" spans="1:1" x14ac:dyDescent="0.25">
      <c r="A1872" s="19" t="s">
        <v>4486</v>
      </c>
    </row>
    <row r="1873" spans="1:1" x14ac:dyDescent="0.25">
      <c r="A1873" s="19" t="s">
        <v>4487</v>
      </c>
    </row>
    <row r="1874" spans="1:1" x14ac:dyDescent="0.25">
      <c r="A1874" s="19" t="s">
        <v>4488</v>
      </c>
    </row>
    <row r="1875" spans="1:1" x14ac:dyDescent="0.25">
      <c r="A1875" s="19" t="s">
        <v>4489</v>
      </c>
    </row>
    <row r="1876" spans="1:1" x14ac:dyDescent="0.25">
      <c r="A1876" s="19" t="s">
        <v>4490</v>
      </c>
    </row>
    <row r="1877" spans="1:1" x14ac:dyDescent="0.25">
      <c r="A1877" s="19" t="s">
        <v>4491</v>
      </c>
    </row>
    <row r="1878" spans="1:1" x14ac:dyDescent="0.25">
      <c r="A1878" s="19" t="s">
        <v>4492</v>
      </c>
    </row>
    <row r="1879" spans="1:1" x14ac:dyDescent="0.25">
      <c r="A1879" s="19" t="s">
        <v>4493</v>
      </c>
    </row>
    <row r="1880" spans="1:1" x14ac:dyDescent="0.25">
      <c r="A1880" s="19" t="s">
        <v>4494</v>
      </c>
    </row>
    <row r="1881" spans="1:1" x14ac:dyDescent="0.25">
      <c r="A1881" s="19" t="s">
        <v>4495</v>
      </c>
    </row>
    <row r="1882" spans="1:1" x14ac:dyDescent="0.25">
      <c r="A1882" s="19" t="s">
        <v>4496</v>
      </c>
    </row>
    <row r="1883" spans="1:1" x14ac:dyDescent="0.25">
      <c r="A1883" s="19" t="s">
        <v>4497</v>
      </c>
    </row>
    <row r="1884" spans="1:1" x14ac:dyDescent="0.25">
      <c r="A1884" s="19" t="s">
        <v>4498</v>
      </c>
    </row>
    <row r="1885" spans="1:1" x14ac:dyDescent="0.25">
      <c r="A1885" s="19" t="s">
        <v>4499</v>
      </c>
    </row>
    <row r="1886" spans="1:1" x14ac:dyDescent="0.25">
      <c r="A1886" s="19" t="s">
        <v>4500</v>
      </c>
    </row>
    <row r="1887" spans="1:1" x14ac:dyDescent="0.25">
      <c r="A1887" s="19" t="s">
        <v>4501</v>
      </c>
    </row>
    <row r="1888" spans="1:1" x14ac:dyDescent="0.25">
      <c r="A1888" s="19" t="s">
        <v>4502</v>
      </c>
    </row>
    <row r="1889" spans="1:1" x14ac:dyDescent="0.25">
      <c r="A1889" s="19" t="s">
        <v>4503</v>
      </c>
    </row>
    <row r="1890" spans="1:1" x14ac:dyDescent="0.25">
      <c r="A1890" s="19" t="s">
        <v>4504</v>
      </c>
    </row>
    <row r="1891" spans="1:1" x14ac:dyDescent="0.25">
      <c r="A1891" s="19" t="s">
        <v>4505</v>
      </c>
    </row>
    <row r="1892" spans="1:1" x14ac:dyDescent="0.25">
      <c r="A1892" s="19" t="s">
        <v>4506</v>
      </c>
    </row>
    <row r="1893" spans="1:1" x14ac:dyDescent="0.25">
      <c r="A1893" s="19" t="s">
        <v>4507</v>
      </c>
    </row>
    <row r="1894" spans="1:1" x14ac:dyDescent="0.25">
      <c r="A1894" s="19" t="s">
        <v>4508</v>
      </c>
    </row>
    <row r="1895" spans="1:1" x14ac:dyDescent="0.25">
      <c r="A1895" s="19" t="s">
        <v>4509</v>
      </c>
    </row>
    <row r="1896" spans="1:1" x14ac:dyDescent="0.25">
      <c r="A1896" s="19" t="s">
        <v>4510</v>
      </c>
    </row>
    <row r="1897" spans="1:1" x14ac:dyDescent="0.25">
      <c r="A1897" s="19" t="s">
        <v>4511</v>
      </c>
    </row>
    <row r="1898" spans="1:1" x14ac:dyDescent="0.25">
      <c r="A1898" s="19" t="s">
        <v>4512</v>
      </c>
    </row>
    <row r="1899" spans="1:1" x14ac:dyDescent="0.25">
      <c r="A1899" s="19" t="s">
        <v>4513</v>
      </c>
    </row>
    <row r="1900" spans="1:1" x14ac:dyDescent="0.25">
      <c r="A1900" s="19" t="s">
        <v>4514</v>
      </c>
    </row>
    <row r="1901" spans="1:1" x14ac:dyDescent="0.25">
      <c r="A1901" s="19" t="s">
        <v>4515</v>
      </c>
    </row>
    <row r="1902" spans="1:1" x14ac:dyDescent="0.25">
      <c r="A1902" s="19" t="s">
        <v>4516</v>
      </c>
    </row>
    <row r="1903" spans="1:1" x14ac:dyDescent="0.25">
      <c r="A1903" s="19" t="s">
        <v>4517</v>
      </c>
    </row>
    <row r="1904" spans="1:1" x14ac:dyDescent="0.25">
      <c r="A1904" s="19" t="s">
        <v>4518</v>
      </c>
    </row>
    <row r="1905" spans="1:1" x14ac:dyDescent="0.25">
      <c r="A1905" s="19" t="s">
        <v>4519</v>
      </c>
    </row>
    <row r="1906" spans="1:1" x14ac:dyDescent="0.25">
      <c r="A1906" s="19" t="s">
        <v>4520</v>
      </c>
    </row>
    <row r="1907" spans="1:1" x14ac:dyDescent="0.25">
      <c r="A1907" s="19" t="s">
        <v>4521</v>
      </c>
    </row>
    <row r="1908" spans="1:1" x14ac:dyDescent="0.25">
      <c r="A1908" s="19" t="s">
        <v>4522</v>
      </c>
    </row>
    <row r="1909" spans="1:1" x14ac:dyDescent="0.25">
      <c r="A1909" s="19" t="s">
        <v>4523</v>
      </c>
    </row>
    <row r="1910" spans="1:1" x14ac:dyDescent="0.25">
      <c r="A1910" s="19" t="s">
        <v>4524</v>
      </c>
    </row>
    <row r="1911" spans="1:1" x14ac:dyDescent="0.25">
      <c r="A1911" s="19" t="s">
        <v>4525</v>
      </c>
    </row>
    <row r="1912" spans="1:1" x14ac:dyDescent="0.25">
      <c r="A1912" s="19" t="s">
        <v>4526</v>
      </c>
    </row>
    <row r="1913" spans="1:1" x14ac:dyDescent="0.25">
      <c r="A1913" s="19" t="s">
        <v>4527</v>
      </c>
    </row>
    <row r="1914" spans="1:1" x14ac:dyDescent="0.25">
      <c r="A1914" s="19" t="s">
        <v>4528</v>
      </c>
    </row>
    <row r="1915" spans="1:1" x14ac:dyDescent="0.25">
      <c r="A1915" s="19" t="s">
        <v>4529</v>
      </c>
    </row>
    <row r="1916" spans="1:1" x14ac:dyDescent="0.25">
      <c r="A1916" s="19" t="s">
        <v>4530</v>
      </c>
    </row>
    <row r="1917" spans="1:1" x14ac:dyDescent="0.25">
      <c r="A1917" s="19" t="s">
        <v>4531</v>
      </c>
    </row>
    <row r="1918" spans="1:1" x14ac:dyDescent="0.25">
      <c r="A1918" s="19" t="s">
        <v>4532</v>
      </c>
    </row>
    <row r="1919" spans="1:1" x14ac:dyDescent="0.25">
      <c r="A1919" s="19" t="s">
        <v>4533</v>
      </c>
    </row>
    <row r="1920" spans="1:1" x14ac:dyDescent="0.25">
      <c r="A1920" s="19" t="s">
        <v>4534</v>
      </c>
    </row>
    <row r="1921" spans="1:1" x14ac:dyDescent="0.25">
      <c r="A1921" s="19" t="s">
        <v>4535</v>
      </c>
    </row>
    <row r="1922" spans="1:1" x14ac:dyDescent="0.25">
      <c r="A1922" s="19" t="s">
        <v>4536</v>
      </c>
    </row>
    <row r="1923" spans="1:1" x14ac:dyDescent="0.25">
      <c r="A1923" s="19" t="s">
        <v>4537</v>
      </c>
    </row>
    <row r="1924" spans="1:1" x14ac:dyDescent="0.25">
      <c r="A1924" s="19" t="s">
        <v>4538</v>
      </c>
    </row>
    <row r="1925" spans="1:1" x14ac:dyDescent="0.25">
      <c r="A1925" s="19" t="s">
        <v>4539</v>
      </c>
    </row>
    <row r="1926" spans="1:1" x14ac:dyDescent="0.25">
      <c r="A1926" s="19" t="s">
        <v>4540</v>
      </c>
    </row>
    <row r="1927" spans="1:1" x14ac:dyDescent="0.25">
      <c r="A1927" s="19" t="s">
        <v>4541</v>
      </c>
    </row>
    <row r="1928" spans="1:1" x14ac:dyDescent="0.25">
      <c r="A1928" s="19" t="s">
        <v>4542</v>
      </c>
    </row>
    <row r="1929" spans="1:1" x14ac:dyDescent="0.25">
      <c r="A1929" s="19" t="s">
        <v>4543</v>
      </c>
    </row>
    <row r="1930" spans="1:1" x14ac:dyDescent="0.25">
      <c r="A1930" s="19" t="s">
        <v>4544</v>
      </c>
    </row>
    <row r="1931" spans="1:1" x14ac:dyDescent="0.25">
      <c r="A1931" s="19" t="s">
        <v>4545</v>
      </c>
    </row>
    <row r="1932" spans="1:1" x14ac:dyDescent="0.25">
      <c r="A1932" s="19" t="s">
        <v>4546</v>
      </c>
    </row>
    <row r="1933" spans="1:1" x14ac:dyDescent="0.25">
      <c r="A1933" s="19" t="s">
        <v>4547</v>
      </c>
    </row>
    <row r="1934" spans="1:1" x14ac:dyDescent="0.25">
      <c r="A1934" s="19" t="s">
        <v>4548</v>
      </c>
    </row>
    <row r="1935" spans="1:1" x14ac:dyDescent="0.25">
      <c r="A1935" s="19" t="s">
        <v>4549</v>
      </c>
    </row>
    <row r="1936" spans="1:1" x14ac:dyDescent="0.25">
      <c r="A1936" s="19" t="s">
        <v>4550</v>
      </c>
    </row>
    <row r="1937" spans="1:1" x14ac:dyDescent="0.25">
      <c r="A1937" s="19" t="s">
        <v>4551</v>
      </c>
    </row>
    <row r="1938" spans="1:1" x14ac:dyDescent="0.25">
      <c r="A1938" s="19" t="s">
        <v>4552</v>
      </c>
    </row>
    <row r="1939" spans="1:1" x14ac:dyDescent="0.25">
      <c r="A1939" s="19" t="s">
        <v>4553</v>
      </c>
    </row>
    <row r="1940" spans="1:1" x14ac:dyDescent="0.25">
      <c r="A1940" s="19" t="s">
        <v>4554</v>
      </c>
    </row>
    <row r="1941" spans="1:1" x14ac:dyDescent="0.25">
      <c r="A1941" s="19" t="s">
        <v>4555</v>
      </c>
    </row>
    <row r="1942" spans="1:1" x14ac:dyDescent="0.25">
      <c r="A1942" s="19" t="s">
        <v>4556</v>
      </c>
    </row>
    <row r="1943" spans="1:1" x14ac:dyDescent="0.25">
      <c r="A1943" s="19" t="s">
        <v>4557</v>
      </c>
    </row>
    <row r="1944" spans="1:1" x14ac:dyDescent="0.25">
      <c r="A1944" s="19" t="s">
        <v>4558</v>
      </c>
    </row>
    <row r="1945" spans="1:1" x14ac:dyDescent="0.25">
      <c r="A1945" s="19" t="s">
        <v>4559</v>
      </c>
    </row>
    <row r="1946" spans="1:1" x14ac:dyDescent="0.25">
      <c r="A1946" s="19" t="s">
        <v>4560</v>
      </c>
    </row>
    <row r="1947" spans="1:1" x14ac:dyDescent="0.25">
      <c r="A1947" s="19" t="s">
        <v>4561</v>
      </c>
    </row>
    <row r="1948" spans="1:1" x14ac:dyDescent="0.25">
      <c r="A1948" s="19" t="s">
        <v>4562</v>
      </c>
    </row>
    <row r="1949" spans="1:1" x14ac:dyDescent="0.25">
      <c r="A1949" s="19" t="s">
        <v>4563</v>
      </c>
    </row>
    <row r="1950" spans="1:1" x14ac:dyDescent="0.25">
      <c r="A1950" s="19" t="s">
        <v>4564</v>
      </c>
    </row>
    <row r="1951" spans="1:1" x14ac:dyDescent="0.25">
      <c r="A1951" s="19" t="s">
        <v>4565</v>
      </c>
    </row>
    <row r="1952" spans="1:1" x14ac:dyDescent="0.25">
      <c r="A1952" s="19" t="s">
        <v>4566</v>
      </c>
    </row>
    <row r="1953" spans="1:1" x14ac:dyDescent="0.25">
      <c r="A1953" s="19" t="s">
        <v>4567</v>
      </c>
    </row>
    <row r="1954" spans="1:1" x14ac:dyDescent="0.25">
      <c r="A1954" s="19" t="s">
        <v>4568</v>
      </c>
    </row>
    <row r="1955" spans="1:1" x14ac:dyDescent="0.25">
      <c r="A1955" s="19" t="s">
        <v>4569</v>
      </c>
    </row>
    <row r="1956" spans="1:1" x14ac:dyDescent="0.25">
      <c r="A1956" s="19" t="s">
        <v>4570</v>
      </c>
    </row>
    <row r="1957" spans="1:1" x14ac:dyDescent="0.25">
      <c r="A1957" s="19" t="s">
        <v>4571</v>
      </c>
    </row>
    <row r="1958" spans="1:1" x14ac:dyDescent="0.25">
      <c r="A1958" s="19" t="s">
        <v>4572</v>
      </c>
    </row>
    <row r="1959" spans="1:1" x14ac:dyDescent="0.25">
      <c r="A1959" s="19" t="s">
        <v>4573</v>
      </c>
    </row>
    <row r="1960" spans="1:1" x14ac:dyDescent="0.25">
      <c r="A1960" s="19" t="s">
        <v>4574</v>
      </c>
    </row>
    <row r="1961" spans="1:1" x14ac:dyDescent="0.25">
      <c r="A1961" s="19" t="s">
        <v>4575</v>
      </c>
    </row>
    <row r="1962" spans="1:1" x14ac:dyDescent="0.25">
      <c r="A1962" s="19" t="s">
        <v>4576</v>
      </c>
    </row>
    <row r="1963" spans="1:1" x14ac:dyDescent="0.25">
      <c r="A1963" s="19" t="s">
        <v>4577</v>
      </c>
    </row>
    <row r="1964" spans="1:1" x14ac:dyDescent="0.25">
      <c r="A1964" s="19" t="s">
        <v>4578</v>
      </c>
    </row>
    <row r="1965" spans="1:1" x14ac:dyDescent="0.25">
      <c r="A1965" s="19" t="s">
        <v>4579</v>
      </c>
    </row>
    <row r="1966" spans="1:1" x14ac:dyDescent="0.25">
      <c r="A1966" s="19" t="s">
        <v>4580</v>
      </c>
    </row>
    <row r="1967" spans="1:1" x14ac:dyDescent="0.25">
      <c r="A1967" s="19" t="s">
        <v>4581</v>
      </c>
    </row>
    <row r="1968" spans="1:1" x14ac:dyDescent="0.25">
      <c r="A1968" s="19" t="s">
        <v>4582</v>
      </c>
    </row>
    <row r="1969" spans="1:1" x14ac:dyDescent="0.25">
      <c r="A1969" s="19" t="s">
        <v>4583</v>
      </c>
    </row>
    <row r="1970" spans="1:1" x14ac:dyDescent="0.25">
      <c r="A1970" s="19" t="s">
        <v>4584</v>
      </c>
    </row>
    <row r="1971" spans="1:1" x14ac:dyDescent="0.25">
      <c r="A1971" s="19" t="s">
        <v>4585</v>
      </c>
    </row>
    <row r="1972" spans="1:1" x14ac:dyDescent="0.25">
      <c r="A1972" s="19" t="s">
        <v>4586</v>
      </c>
    </row>
    <row r="1973" spans="1:1" x14ac:dyDescent="0.25">
      <c r="A1973" s="19" t="s">
        <v>4587</v>
      </c>
    </row>
    <row r="1974" spans="1:1" x14ac:dyDescent="0.25">
      <c r="A1974" s="19" t="s">
        <v>4588</v>
      </c>
    </row>
    <row r="1975" spans="1:1" x14ac:dyDescent="0.25">
      <c r="A1975" s="19" t="s">
        <v>4589</v>
      </c>
    </row>
    <row r="1976" spans="1:1" x14ac:dyDescent="0.25">
      <c r="A1976" s="19" t="s">
        <v>4590</v>
      </c>
    </row>
    <row r="1977" spans="1:1" x14ac:dyDescent="0.25">
      <c r="A1977" s="19" t="s">
        <v>4591</v>
      </c>
    </row>
    <row r="1978" spans="1:1" x14ac:dyDescent="0.25">
      <c r="A1978" s="19" t="s">
        <v>4592</v>
      </c>
    </row>
    <row r="1979" spans="1:1" x14ac:dyDescent="0.25">
      <c r="A1979" s="19" t="s">
        <v>4593</v>
      </c>
    </row>
    <row r="1980" spans="1:1" x14ac:dyDescent="0.25">
      <c r="A1980" s="19" t="s">
        <v>4594</v>
      </c>
    </row>
    <row r="1981" spans="1:1" x14ac:dyDescent="0.25">
      <c r="A1981" s="19" t="s">
        <v>4595</v>
      </c>
    </row>
    <row r="1982" spans="1:1" x14ac:dyDescent="0.25">
      <c r="A1982" s="19" t="s">
        <v>4596</v>
      </c>
    </row>
    <row r="1983" spans="1:1" x14ac:dyDescent="0.25">
      <c r="A1983" s="19" t="s">
        <v>4597</v>
      </c>
    </row>
    <row r="1984" spans="1:1" x14ac:dyDescent="0.25">
      <c r="A1984" s="19" t="s">
        <v>4598</v>
      </c>
    </row>
    <row r="1985" spans="1:1" x14ac:dyDescent="0.25">
      <c r="A1985" s="19" t="s">
        <v>4599</v>
      </c>
    </row>
    <row r="1986" spans="1:1" x14ac:dyDescent="0.25">
      <c r="A1986" s="19" t="s">
        <v>4600</v>
      </c>
    </row>
    <row r="1987" spans="1:1" x14ac:dyDescent="0.25">
      <c r="A1987" s="19" t="s">
        <v>4601</v>
      </c>
    </row>
    <row r="1988" spans="1:1" x14ac:dyDescent="0.25">
      <c r="A1988" s="19" t="s">
        <v>4602</v>
      </c>
    </row>
    <row r="1989" spans="1:1" x14ac:dyDescent="0.25">
      <c r="A1989" s="19" t="s">
        <v>4603</v>
      </c>
    </row>
    <row r="1990" spans="1:1" x14ac:dyDescent="0.25">
      <c r="A1990" s="19" t="s">
        <v>4604</v>
      </c>
    </row>
    <row r="1991" spans="1:1" x14ac:dyDescent="0.25">
      <c r="A1991" s="19" t="s">
        <v>4605</v>
      </c>
    </row>
    <row r="1992" spans="1:1" x14ac:dyDescent="0.25">
      <c r="A1992" s="19" t="s">
        <v>4606</v>
      </c>
    </row>
    <row r="1993" spans="1:1" x14ac:dyDescent="0.25">
      <c r="A1993" s="19" t="s">
        <v>4607</v>
      </c>
    </row>
    <row r="1994" spans="1:1" x14ac:dyDescent="0.25">
      <c r="A1994" s="19" t="s">
        <v>4608</v>
      </c>
    </row>
    <row r="1995" spans="1:1" x14ac:dyDescent="0.25">
      <c r="A1995" s="19" t="s">
        <v>4609</v>
      </c>
    </row>
    <row r="1996" spans="1:1" x14ac:dyDescent="0.25">
      <c r="A1996" s="19" t="s">
        <v>4610</v>
      </c>
    </row>
    <row r="1997" spans="1:1" x14ac:dyDescent="0.25">
      <c r="A1997" s="19" t="s">
        <v>4611</v>
      </c>
    </row>
    <row r="1998" spans="1:1" x14ac:dyDescent="0.25">
      <c r="A1998" s="19" t="s">
        <v>4612</v>
      </c>
    </row>
    <row r="1999" spans="1:1" x14ac:dyDescent="0.25">
      <c r="A1999" s="19" t="s">
        <v>4613</v>
      </c>
    </row>
    <row r="2000" spans="1:1" x14ac:dyDescent="0.25">
      <c r="A2000" s="19" t="s">
        <v>4614</v>
      </c>
    </row>
    <row r="2001" spans="1:1" x14ac:dyDescent="0.25">
      <c r="A2001" s="19" t="s">
        <v>4615</v>
      </c>
    </row>
    <row r="2002" spans="1:1" x14ac:dyDescent="0.25">
      <c r="A2002" s="19" t="s">
        <v>4616</v>
      </c>
    </row>
    <row r="2003" spans="1:1" x14ac:dyDescent="0.25">
      <c r="A2003" s="19" t="s">
        <v>4617</v>
      </c>
    </row>
    <row r="2004" spans="1:1" x14ac:dyDescent="0.25">
      <c r="A2004" s="19" t="s">
        <v>4618</v>
      </c>
    </row>
    <row r="2005" spans="1:1" x14ac:dyDescent="0.25">
      <c r="A2005" s="19" t="s">
        <v>4619</v>
      </c>
    </row>
    <row r="2006" spans="1:1" x14ac:dyDescent="0.25">
      <c r="A2006" s="19" t="s">
        <v>4620</v>
      </c>
    </row>
    <row r="2007" spans="1:1" x14ac:dyDescent="0.25">
      <c r="A2007" s="19" t="s">
        <v>4621</v>
      </c>
    </row>
    <row r="2008" spans="1:1" x14ac:dyDescent="0.25">
      <c r="A2008" s="19" t="s">
        <v>4622</v>
      </c>
    </row>
    <row r="2009" spans="1:1" x14ac:dyDescent="0.25">
      <c r="A2009" s="19" t="s">
        <v>4623</v>
      </c>
    </row>
    <row r="2010" spans="1:1" x14ac:dyDescent="0.25">
      <c r="A2010" s="19" t="s">
        <v>4624</v>
      </c>
    </row>
    <row r="2011" spans="1:1" x14ac:dyDescent="0.25">
      <c r="A2011" s="19" t="s">
        <v>4625</v>
      </c>
    </row>
    <row r="2012" spans="1:1" x14ac:dyDescent="0.25">
      <c r="A2012" s="19" t="s">
        <v>4626</v>
      </c>
    </row>
    <row r="2013" spans="1:1" x14ac:dyDescent="0.25">
      <c r="A2013" s="19" t="s">
        <v>4627</v>
      </c>
    </row>
    <row r="2014" spans="1:1" x14ac:dyDescent="0.25">
      <c r="A2014" s="19" t="s">
        <v>4628</v>
      </c>
    </row>
    <row r="2015" spans="1:1" x14ac:dyDescent="0.25">
      <c r="A2015" s="19" t="s">
        <v>4629</v>
      </c>
    </row>
    <row r="2016" spans="1:1" x14ac:dyDescent="0.25">
      <c r="A2016" s="19" t="s">
        <v>4630</v>
      </c>
    </row>
    <row r="2017" spans="1:1" x14ac:dyDescent="0.25">
      <c r="A2017" s="19" t="s">
        <v>4631</v>
      </c>
    </row>
    <row r="2018" spans="1:1" x14ac:dyDescent="0.25">
      <c r="A2018" s="19" t="s">
        <v>4632</v>
      </c>
    </row>
    <row r="2019" spans="1:1" x14ac:dyDescent="0.25">
      <c r="A2019" s="19" t="s">
        <v>4633</v>
      </c>
    </row>
    <row r="2020" spans="1:1" x14ac:dyDescent="0.25">
      <c r="A2020" s="19" t="s">
        <v>4634</v>
      </c>
    </row>
    <row r="2021" spans="1:1" x14ac:dyDescent="0.25">
      <c r="A2021" s="19" t="s">
        <v>4635</v>
      </c>
    </row>
    <row r="2022" spans="1:1" x14ac:dyDescent="0.25">
      <c r="A2022" s="19" t="s">
        <v>4636</v>
      </c>
    </row>
    <row r="2023" spans="1:1" x14ac:dyDescent="0.25">
      <c r="A2023" s="19" t="s">
        <v>4637</v>
      </c>
    </row>
    <row r="2024" spans="1:1" x14ac:dyDescent="0.25">
      <c r="A2024" s="19" t="s">
        <v>4638</v>
      </c>
    </row>
    <row r="2025" spans="1:1" x14ac:dyDescent="0.25">
      <c r="A2025" s="19" t="s">
        <v>4639</v>
      </c>
    </row>
    <row r="2026" spans="1:1" x14ac:dyDescent="0.25">
      <c r="A2026" s="19" t="s">
        <v>4640</v>
      </c>
    </row>
    <row r="2027" spans="1:1" x14ac:dyDescent="0.25">
      <c r="A2027" s="19" t="s">
        <v>4640</v>
      </c>
    </row>
    <row r="2028" spans="1:1" x14ac:dyDescent="0.25">
      <c r="A2028" s="19" t="s">
        <v>4641</v>
      </c>
    </row>
    <row r="2029" spans="1:1" x14ac:dyDescent="0.25">
      <c r="A2029" s="19" t="s">
        <v>4642</v>
      </c>
    </row>
    <row r="2030" spans="1:1" x14ac:dyDescent="0.25">
      <c r="A2030" s="19" t="s">
        <v>4643</v>
      </c>
    </row>
    <row r="2031" spans="1:1" x14ac:dyDescent="0.25">
      <c r="A2031" s="19" t="s">
        <v>4644</v>
      </c>
    </row>
    <row r="2032" spans="1:1" x14ac:dyDescent="0.25">
      <c r="A2032" s="19" t="s">
        <v>4645</v>
      </c>
    </row>
    <row r="2033" spans="1:1" x14ac:dyDescent="0.25">
      <c r="A2033" s="19" t="s">
        <v>4646</v>
      </c>
    </row>
    <row r="2034" spans="1:1" x14ac:dyDescent="0.25">
      <c r="A2034" s="19" t="s">
        <v>4647</v>
      </c>
    </row>
    <row r="2035" spans="1:1" x14ac:dyDescent="0.25">
      <c r="A2035" s="19" t="s">
        <v>4648</v>
      </c>
    </row>
    <row r="2036" spans="1:1" x14ac:dyDescent="0.25">
      <c r="A2036" s="19" t="s">
        <v>4649</v>
      </c>
    </row>
    <row r="2037" spans="1:1" x14ac:dyDescent="0.25">
      <c r="A2037" s="19" t="s">
        <v>4650</v>
      </c>
    </row>
    <row r="2038" spans="1:1" x14ac:dyDescent="0.25">
      <c r="A2038" s="19" t="s">
        <v>4651</v>
      </c>
    </row>
    <row r="2039" spans="1:1" x14ac:dyDescent="0.25">
      <c r="A2039" s="19" t="s">
        <v>4652</v>
      </c>
    </row>
    <row r="2040" spans="1:1" x14ac:dyDescent="0.25">
      <c r="A2040" s="19" t="s">
        <v>4652</v>
      </c>
    </row>
    <row r="2041" spans="1:1" x14ac:dyDescent="0.25">
      <c r="A2041" s="19" t="s">
        <v>4653</v>
      </c>
    </row>
    <row r="2042" spans="1:1" x14ac:dyDescent="0.25">
      <c r="A2042" s="19" t="s">
        <v>4654</v>
      </c>
    </row>
    <row r="2043" spans="1:1" x14ac:dyDescent="0.25">
      <c r="A2043" s="19" t="s">
        <v>4655</v>
      </c>
    </row>
    <row r="2044" spans="1:1" x14ac:dyDescent="0.25">
      <c r="A2044" s="19" t="s">
        <v>4656</v>
      </c>
    </row>
    <row r="2045" spans="1:1" x14ac:dyDescent="0.25">
      <c r="A2045" s="19" t="s">
        <v>4657</v>
      </c>
    </row>
    <row r="2046" spans="1:1" x14ac:dyDescent="0.25">
      <c r="A2046" s="19" t="s">
        <v>4658</v>
      </c>
    </row>
    <row r="2047" spans="1:1" x14ac:dyDescent="0.25">
      <c r="A2047" s="19" t="s">
        <v>4659</v>
      </c>
    </row>
    <row r="2048" spans="1:1" x14ac:dyDescent="0.25">
      <c r="A2048" s="19" t="s">
        <v>4660</v>
      </c>
    </row>
    <row r="2049" spans="1:1" x14ac:dyDescent="0.25">
      <c r="A2049" s="19" t="s">
        <v>4661</v>
      </c>
    </row>
    <row r="2050" spans="1:1" x14ac:dyDescent="0.25">
      <c r="A2050" s="19" t="s">
        <v>4662</v>
      </c>
    </row>
    <row r="2051" spans="1:1" x14ac:dyDescent="0.25">
      <c r="A2051" s="19" t="s">
        <v>4663</v>
      </c>
    </row>
    <row r="2052" spans="1:1" x14ac:dyDescent="0.25">
      <c r="A2052" s="19" t="s">
        <v>4664</v>
      </c>
    </row>
    <row r="2053" spans="1:1" x14ac:dyDescent="0.25">
      <c r="A2053" s="19" t="s">
        <v>4665</v>
      </c>
    </row>
    <row r="2054" spans="1:1" x14ac:dyDescent="0.25">
      <c r="A2054" s="19" t="s">
        <v>4666</v>
      </c>
    </row>
    <row r="2055" spans="1:1" x14ac:dyDescent="0.25">
      <c r="A2055" s="19" t="s">
        <v>4667</v>
      </c>
    </row>
    <row r="2056" spans="1:1" x14ac:dyDescent="0.25">
      <c r="A2056" s="19" t="s">
        <v>4668</v>
      </c>
    </row>
    <row r="2057" spans="1:1" x14ac:dyDescent="0.25">
      <c r="A2057" s="19" t="s">
        <v>4669</v>
      </c>
    </row>
    <row r="2058" spans="1:1" x14ac:dyDescent="0.25">
      <c r="A2058" s="19" t="s">
        <v>4670</v>
      </c>
    </row>
    <row r="2059" spans="1:1" x14ac:dyDescent="0.25">
      <c r="A2059" s="19" t="s">
        <v>4671</v>
      </c>
    </row>
    <row r="2060" spans="1:1" x14ac:dyDescent="0.25">
      <c r="A2060" s="19" t="s">
        <v>4672</v>
      </c>
    </row>
    <row r="2061" spans="1:1" x14ac:dyDescent="0.25">
      <c r="A2061" s="19" t="s">
        <v>4673</v>
      </c>
    </row>
    <row r="2062" spans="1:1" x14ac:dyDescent="0.25">
      <c r="A2062" s="19" t="s">
        <v>4674</v>
      </c>
    </row>
    <row r="2063" spans="1:1" x14ac:dyDescent="0.25">
      <c r="A2063" s="19" t="s">
        <v>4675</v>
      </c>
    </row>
    <row r="2064" spans="1:1" x14ac:dyDescent="0.25">
      <c r="A2064" s="19" t="s">
        <v>4676</v>
      </c>
    </row>
    <row r="2065" spans="1:1" x14ac:dyDescent="0.25">
      <c r="A2065" s="19" t="s">
        <v>4677</v>
      </c>
    </row>
    <row r="2066" spans="1:1" x14ac:dyDescent="0.25">
      <c r="A2066" s="19" t="s">
        <v>4678</v>
      </c>
    </row>
    <row r="2067" spans="1:1" x14ac:dyDescent="0.25">
      <c r="A2067" s="19" t="s">
        <v>4679</v>
      </c>
    </row>
    <row r="2068" spans="1:1" x14ac:dyDescent="0.25">
      <c r="A2068" s="19" t="s">
        <v>4680</v>
      </c>
    </row>
    <row r="2069" spans="1:1" x14ac:dyDescent="0.25">
      <c r="A2069" s="19" t="s">
        <v>4681</v>
      </c>
    </row>
    <row r="2070" spans="1:1" x14ac:dyDescent="0.25">
      <c r="A2070" s="19" t="s">
        <v>4682</v>
      </c>
    </row>
    <row r="2071" spans="1:1" x14ac:dyDescent="0.25">
      <c r="A2071" s="19" t="s">
        <v>4683</v>
      </c>
    </row>
    <row r="2072" spans="1:1" x14ac:dyDescent="0.25">
      <c r="A2072" s="19" t="s">
        <v>4684</v>
      </c>
    </row>
    <row r="2073" spans="1:1" x14ac:dyDescent="0.25">
      <c r="A2073" s="19" t="s">
        <v>4685</v>
      </c>
    </row>
    <row r="2074" spans="1:1" x14ac:dyDescent="0.25">
      <c r="A2074" s="19" t="s">
        <v>4686</v>
      </c>
    </row>
    <row r="2075" spans="1:1" x14ac:dyDescent="0.25">
      <c r="A2075" s="19" t="s">
        <v>4687</v>
      </c>
    </row>
    <row r="2076" spans="1:1" x14ac:dyDescent="0.25">
      <c r="A2076" s="19" t="s">
        <v>4688</v>
      </c>
    </row>
    <row r="2077" spans="1:1" x14ac:dyDescent="0.25">
      <c r="A2077" s="19" t="s">
        <v>4689</v>
      </c>
    </row>
    <row r="2078" spans="1:1" x14ac:dyDescent="0.25">
      <c r="A2078" s="19" t="s">
        <v>4690</v>
      </c>
    </row>
    <row r="2079" spans="1:1" x14ac:dyDescent="0.25">
      <c r="A2079" s="19" t="s">
        <v>4691</v>
      </c>
    </row>
    <row r="2080" spans="1:1" x14ac:dyDescent="0.25">
      <c r="A2080" s="19" t="s">
        <v>4692</v>
      </c>
    </row>
    <row r="2081" spans="1:1" x14ac:dyDescent="0.25">
      <c r="A2081" s="19" t="s">
        <v>4693</v>
      </c>
    </row>
    <row r="2082" spans="1:1" x14ac:dyDescent="0.25">
      <c r="A2082" s="19" t="s">
        <v>4694</v>
      </c>
    </row>
    <row r="2083" spans="1:1" x14ac:dyDescent="0.25">
      <c r="A2083" s="19" t="s">
        <v>4695</v>
      </c>
    </row>
    <row r="2084" spans="1:1" x14ac:dyDescent="0.25">
      <c r="A2084" s="19" t="s">
        <v>4696</v>
      </c>
    </row>
    <row r="2085" spans="1:1" x14ac:dyDescent="0.25">
      <c r="A2085" s="19" t="s">
        <v>4697</v>
      </c>
    </row>
    <row r="2086" spans="1:1" x14ac:dyDescent="0.25">
      <c r="A2086" s="19" t="s">
        <v>4698</v>
      </c>
    </row>
    <row r="2087" spans="1:1" x14ac:dyDescent="0.25">
      <c r="A2087" s="19" t="s">
        <v>4699</v>
      </c>
    </row>
    <row r="2088" spans="1:1" x14ac:dyDescent="0.25">
      <c r="A2088" s="19" t="s">
        <v>4700</v>
      </c>
    </row>
    <row r="2089" spans="1:1" x14ac:dyDescent="0.25">
      <c r="A2089" s="19" t="s">
        <v>4701</v>
      </c>
    </row>
    <row r="2090" spans="1:1" x14ac:dyDescent="0.25">
      <c r="A2090" s="19" t="s">
        <v>4702</v>
      </c>
    </row>
    <row r="2091" spans="1:1" x14ac:dyDescent="0.25">
      <c r="A2091" s="19" t="s">
        <v>4703</v>
      </c>
    </row>
    <row r="2092" spans="1:1" x14ac:dyDescent="0.25">
      <c r="A2092" s="19" t="s">
        <v>4704</v>
      </c>
    </row>
    <row r="2093" spans="1:1" x14ac:dyDescent="0.25">
      <c r="A2093" s="19" t="s">
        <v>4705</v>
      </c>
    </row>
    <row r="2094" spans="1:1" x14ac:dyDescent="0.25">
      <c r="A2094" s="19" t="s">
        <v>4706</v>
      </c>
    </row>
    <row r="2095" spans="1:1" x14ac:dyDescent="0.25">
      <c r="A2095" s="19" t="s">
        <v>4707</v>
      </c>
    </row>
    <row r="2096" spans="1:1" x14ac:dyDescent="0.25">
      <c r="A2096" s="19" t="s">
        <v>4708</v>
      </c>
    </row>
    <row r="2097" spans="1:1" x14ac:dyDescent="0.25">
      <c r="A2097" s="19" t="s">
        <v>4709</v>
      </c>
    </row>
    <row r="2098" spans="1:1" x14ac:dyDescent="0.25">
      <c r="A2098" s="19" t="s">
        <v>4710</v>
      </c>
    </row>
    <row r="2099" spans="1:1" x14ac:dyDescent="0.25">
      <c r="A2099" s="19" t="s">
        <v>4711</v>
      </c>
    </row>
    <row r="2100" spans="1:1" x14ac:dyDescent="0.25">
      <c r="A2100" s="19" t="s">
        <v>4712</v>
      </c>
    </row>
    <row r="2101" spans="1:1" x14ac:dyDescent="0.25">
      <c r="A2101" s="19" t="s">
        <v>4713</v>
      </c>
    </row>
    <row r="2102" spans="1:1" x14ac:dyDescent="0.25">
      <c r="A2102" s="19" t="s">
        <v>4714</v>
      </c>
    </row>
    <row r="2103" spans="1:1" x14ac:dyDescent="0.25">
      <c r="A2103" s="19" t="s">
        <v>4714</v>
      </c>
    </row>
    <row r="2104" spans="1:1" x14ac:dyDescent="0.25">
      <c r="A2104" s="19" t="s">
        <v>4715</v>
      </c>
    </row>
    <row r="2105" spans="1:1" x14ac:dyDescent="0.25">
      <c r="A2105" s="19" t="s">
        <v>4716</v>
      </c>
    </row>
    <row r="2106" spans="1:1" x14ac:dyDescent="0.25">
      <c r="A2106" s="19" t="s">
        <v>4717</v>
      </c>
    </row>
    <row r="2107" spans="1:1" x14ac:dyDescent="0.25">
      <c r="A2107" s="19" t="s">
        <v>4718</v>
      </c>
    </row>
    <row r="2108" spans="1:1" x14ac:dyDescent="0.25">
      <c r="A2108" s="19" t="s">
        <v>4719</v>
      </c>
    </row>
    <row r="2109" spans="1:1" x14ac:dyDescent="0.25">
      <c r="A2109" s="19" t="s">
        <v>4720</v>
      </c>
    </row>
    <row r="2110" spans="1:1" x14ac:dyDescent="0.25">
      <c r="A2110" s="19" t="s">
        <v>4721</v>
      </c>
    </row>
    <row r="2111" spans="1:1" x14ac:dyDescent="0.25">
      <c r="A2111" s="19" t="s">
        <v>4722</v>
      </c>
    </row>
    <row r="2112" spans="1:1" x14ac:dyDescent="0.25">
      <c r="A2112" s="19" t="s">
        <v>4723</v>
      </c>
    </row>
    <row r="2113" spans="1:1" x14ac:dyDescent="0.25">
      <c r="A2113" s="19" t="s">
        <v>4724</v>
      </c>
    </row>
    <row r="2114" spans="1:1" x14ac:dyDescent="0.25">
      <c r="A2114" s="19" t="s">
        <v>4725</v>
      </c>
    </row>
    <row r="2115" spans="1:1" x14ac:dyDescent="0.25">
      <c r="A2115" s="19" t="s">
        <v>4726</v>
      </c>
    </row>
    <row r="2116" spans="1:1" x14ac:dyDescent="0.25">
      <c r="A2116" s="19" t="s">
        <v>4727</v>
      </c>
    </row>
    <row r="2117" spans="1:1" x14ac:dyDescent="0.25">
      <c r="A2117" s="19" t="s">
        <v>4728</v>
      </c>
    </row>
    <row r="2118" spans="1:1" x14ac:dyDescent="0.25">
      <c r="A2118" s="19" t="s">
        <v>4729</v>
      </c>
    </row>
    <row r="2119" spans="1:1" x14ac:dyDescent="0.25">
      <c r="A2119" s="19" t="s">
        <v>4730</v>
      </c>
    </row>
    <row r="2120" spans="1:1" x14ac:dyDescent="0.25">
      <c r="A2120" s="19" t="s">
        <v>4731</v>
      </c>
    </row>
    <row r="2121" spans="1:1" x14ac:dyDescent="0.25">
      <c r="A2121" s="19" t="s">
        <v>4732</v>
      </c>
    </row>
    <row r="2122" spans="1:1" x14ac:dyDescent="0.25">
      <c r="A2122" s="19" t="s">
        <v>4733</v>
      </c>
    </row>
    <row r="2123" spans="1:1" x14ac:dyDescent="0.25">
      <c r="A2123" s="19" t="s">
        <v>4734</v>
      </c>
    </row>
    <row r="2124" spans="1:1" x14ac:dyDescent="0.25">
      <c r="A2124" s="19" t="s">
        <v>4735</v>
      </c>
    </row>
    <row r="2125" spans="1:1" x14ac:dyDescent="0.25">
      <c r="A2125" s="19" t="s">
        <v>4736</v>
      </c>
    </row>
    <row r="2126" spans="1:1" x14ac:dyDescent="0.25">
      <c r="A2126" s="19" t="s">
        <v>4737</v>
      </c>
    </row>
    <row r="2127" spans="1:1" x14ac:dyDescent="0.25">
      <c r="A2127" s="19" t="s">
        <v>4738</v>
      </c>
    </row>
    <row r="2128" spans="1:1" x14ac:dyDescent="0.25">
      <c r="A2128" s="19" t="s">
        <v>4739</v>
      </c>
    </row>
    <row r="2129" spans="1:1" x14ac:dyDescent="0.25">
      <c r="A2129" s="19" t="s">
        <v>4740</v>
      </c>
    </row>
    <row r="2130" spans="1:1" x14ac:dyDescent="0.25">
      <c r="A2130" s="19" t="s">
        <v>4741</v>
      </c>
    </row>
    <row r="2131" spans="1:1" x14ac:dyDescent="0.25">
      <c r="A2131" s="19" t="s">
        <v>4742</v>
      </c>
    </row>
    <row r="2132" spans="1:1" x14ac:dyDescent="0.25">
      <c r="A2132" s="19" t="s">
        <v>4743</v>
      </c>
    </row>
    <row r="2133" spans="1:1" x14ac:dyDescent="0.25">
      <c r="A2133" s="19" t="s">
        <v>4744</v>
      </c>
    </row>
    <row r="2134" spans="1:1" x14ac:dyDescent="0.25">
      <c r="A2134" s="19" t="s">
        <v>4745</v>
      </c>
    </row>
    <row r="2135" spans="1:1" x14ac:dyDescent="0.25">
      <c r="A2135" s="19" t="s">
        <v>4746</v>
      </c>
    </row>
    <row r="2136" spans="1:1" x14ac:dyDescent="0.25">
      <c r="A2136" s="19" t="s">
        <v>4747</v>
      </c>
    </row>
    <row r="2137" spans="1:1" x14ac:dyDescent="0.25">
      <c r="A2137" s="19" t="s">
        <v>4748</v>
      </c>
    </row>
    <row r="2138" spans="1:1" x14ac:dyDescent="0.25">
      <c r="A2138" s="19" t="s">
        <v>4749</v>
      </c>
    </row>
    <row r="2139" spans="1:1" x14ac:dyDescent="0.25">
      <c r="A2139" s="19" t="s">
        <v>4750</v>
      </c>
    </row>
    <row r="2140" spans="1:1" x14ac:dyDescent="0.25">
      <c r="A2140" s="19" t="s">
        <v>4751</v>
      </c>
    </row>
    <row r="2141" spans="1:1" x14ac:dyDescent="0.25">
      <c r="A2141" s="19" t="s">
        <v>4752</v>
      </c>
    </row>
    <row r="2142" spans="1:1" x14ac:dyDescent="0.25">
      <c r="A2142" s="19" t="s">
        <v>4753</v>
      </c>
    </row>
    <row r="2143" spans="1:1" x14ac:dyDescent="0.25">
      <c r="A2143" s="19" t="s">
        <v>4754</v>
      </c>
    </row>
    <row r="2144" spans="1:1" x14ac:dyDescent="0.25">
      <c r="A2144" s="19" t="s">
        <v>4755</v>
      </c>
    </row>
    <row r="2145" spans="1:1" x14ac:dyDescent="0.25">
      <c r="A2145" s="19" t="s">
        <v>4756</v>
      </c>
    </row>
    <row r="2146" spans="1:1" x14ac:dyDescent="0.25">
      <c r="A2146" s="19" t="s">
        <v>4757</v>
      </c>
    </row>
    <row r="2147" spans="1:1" x14ac:dyDescent="0.25">
      <c r="A2147" s="19" t="s">
        <v>4758</v>
      </c>
    </row>
    <row r="2148" spans="1:1" x14ac:dyDescent="0.25">
      <c r="A2148" s="19" t="s">
        <v>4759</v>
      </c>
    </row>
    <row r="2149" spans="1:1" x14ac:dyDescent="0.25">
      <c r="A2149" s="19" t="s">
        <v>4760</v>
      </c>
    </row>
    <row r="2150" spans="1:1" x14ac:dyDescent="0.25">
      <c r="A2150" s="19" t="s">
        <v>4761</v>
      </c>
    </row>
    <row r="2151" spans="1:1" x14ac:dyDescent="0.25">
      <c r="A2151" s="19" t="s">
        <v>4762</v>
      </c>
    </row>
    <row r="2152" spans="1:1" x14ac:dyDescent="0.25">
      <c r="A2152" s="19" t="s">
        <v>4763</v>
      </c>
    </row>
    <row r="2153" spans="1:1" x14ac:dyDescent="0.25">
      <c r="A2153" s="19" t="s">
        <v>4764</v>
      </c>
    </row>
    <row r="2154" spans="1:1" x14ac:dyDescent="0.25">
      <c r="A2154" s="19" t="s">
        <v>4765</v>
      </c>
    </row>
    <row r="2155" spans="1:1" x14ac:dyDescent="0.25">
      <c r="A2155" s="19" t="s">
        <v>4766</v>
      </c>
    </row>
    <row r="2156" spans="1:1" x14ac:dyDescent="0.25">
      <c r="A2156" s="19" t="s">
        <v>4767</v>
      </c>
    </row>
    <row r="2157" spans="1:1" x14ac:dyDescent="0.25">
      <c r="A2157" s="19" t="s">
        <v>4768</v>
      </c>
    </row>
    <row r="2158" spans="1:1" x14ac:dyDescent="0.25">
      <c r="A2158" s="19" t="s">
        <v>4769</v>
      </c>
    </row>
    <row r="2159" spans="1:1" x14ac:dyDescent="0.25">
      <c r="A2159" s="19" t="s">
        <v>4770</v>
      </c>
    </row>
    <row r="2160" spans="1:1" x14ac:dyDescent="0.25">
      <c r="A2160" s="19" t="s">
        <v>4771</v>
      </c>
    </row>
    <row r="2161" spans="1:1" x14ac:dyDescent="0.25">
      <c r="A2161" s="19" t="s">
        <v>4772</v>
      </c>
    </row>
    <row r="2162" spans="1:1" x14ac:dyDescent="0.25">
      <c r="A2162" s="19" t="s">
        <v>4773</v>
      </c>
    </row>
    <row r="2163" spans="1:1" x14ac:dyDescent="0.25">
      <c r="A2163" s="19" t="s">
        <v>4774</v>
      </c>
    </row>
    <row r="2164" spans="1:1" x14ac:dyDescent="0.25">
      <c r="A2164" s="19" t="s">
        <v>4775</v>
      </c>
    </row>
    <row r="2165" spans="1:1" x14ac:dyDescent="0.25">
      <c r="A2165" s="19" t="s">
        <v>4776</v>
      </c>
    </row>
    <row r="2166" spans="1:1" x14ac:dyDescent="0.25">
      <c r="A2166" s="19" t="s">
        <v>4777</v>
      </c>
    </row>
    <row r="2167" spans="1:1" x14ac:dyDescent="0.25">
      <c r="A2167" s="19" t="s">
        <v>4778</v>
      </c>
    </row>
    <row r="2168" spans="1:1" x14ac:dyDescent="0.25">
      <c r="A2168" s="19" t="s">
        <v>4779</v>
      </c>
    </row>
    <row r="2169" spans="1:1" x14ac:dyDescent="0.25">
      <c r="A2169" s="19" t="s">
        <v>4780</v>
      </c>
    </row>
    <row r="2170" spans="1:1" x14ac:dyDescent="0.25">
      <c r="A2170" s="19" t="s">
        <v>4781</v>
      </c>
    </row>
    <row r="2171" spans="1:1" x14ac:dyDescent="0.25">
      <c r="A2171" s="19" t="s">
        <v>4782</v>
      </c>
    </row>
    <row r="2172" spans="1:1" x14ac:dyDescent="0.25">
      <c r="A2172" s="19" t="s">
        <v>4783</v>
      </c>
    </row>
    <row r="2173" spans="1:1" x14ac:dyDescent="0.25">
      <c r="A2173" s="19" t="s">
        <v>4784</v>
      </c>
    </row>
    <row r="2174" spans="1:1" x14ac:dyDescent="0.25">
      <c r="A2174" s="19" t="s">
        <v>4785</v>
      </c>
    </row>
    <row r="2175" spans="1:1" x14ac:dyDescent="0.25">
      <c r="A2175" s="19" t="s">
        <v>4786</v>
      </c>
    </row>
    <row r="2176" spans="1:1" x14ac:dyDescent="0.25">
      <c r="A2176" s="19" t="s">
        <v>4787</v>
      </c>
    </row>
    <row r="2177" spans="1:1" x14ac:dyDescent="0.25">
      <c r="A2177" s="19" t="s">
        <v>4787</v>
      </c>
    </row>
    <row r="2178" spans="1:1" x14ac:dyDescent="0.25">
      <c r="A2178" s="19" t="s">
        <v>4788</v>
      </c>
    </row>
    <row r="2179" spans="1:1" x14ac:dyDescent="0.25">
      <c r="A2179" s="19" t="s">
        <v>4789</v>
      </c>
    </row>
    <row r="2180" spans="1:1" x14ac:dyDescent="0.25">
      <c r="A2180" s="19" t="s">
        <v>4790</v>
      </c>
    </row>
    <row r="2181" spans="1:1" x14ac:dyDescent="0.25">
      <c r="A2181" s="19" t="s">
        <v>4791</v>
      </c>
    </row>
    <row r="2182" spans="1:1" x14ac:dyDescent="0.25">
      <c r="A2182" s="19" t="s">
        <v>4792</v>
      </c>
    </row>
    <row r="2183" spans="1:1" x14ac:dyDescent="0.25">
      <c r="A2183" s="19" t="s">
        <v>4793</v>
      </c>
    </row>
    <row r="2184" spans="1:1" x14ac:dyDescent="0.25">
      <c r="A2184" s="19" t="s">
        <v>4794</v>
      </c>
    </row>
    <row r="2185" spans="1:1" x14ac:dyDescent="0.25">
      <c r="A2185" s="19" t="s">
        <v>4795</v>
      </c>
    </row>
    <row r="2186" spans="1:1" x14ac:dyDescent="0.25">
      <c r="A2186" s="19" t="s">
        <v>4796</v>
      </c>
    </row>
    <row r="2187" spans="1:1" x14ac:dyDescent="0.25">
      <c r="A2187" s="19" t="s">
        <v>4797</v>
      </c>
    </row>
    <row r="2188" spans="1:1" x14ac:dyDescent="0.25">
      <c r="A2188" s="19" t="s">
        <v>4798</v>
      </c>
    </row>
    <row r="2189" spans="1:1" x14ac:dyDescent="0.25">
      <c r="A2189" s="19" t="s">
        <v>4799</v>
      </c>
    </row>
    <row r="2190" spans="1:1" x14ac:dyDescent="0.25">
      <c r="A2190" s="19" t="s">
        <v>4800</v>
      </c>
    </row>
    <row r="2191" spans="1:1" x14ac:dyDescent="0.25">
      <c r="A2191" s="19" t="s">
        <v>4801</v>
      </c>
    </row>
    <row r="2192" spans="1:1" x14ac:dyDescent="0.25">
      <c r="A2192" s="19" t="s">
        <v>4802</v>
      </c>
    </row>
    <row r="2193" spans="1:1" x14ac:dyDescent="0.25">
      <c r="A2193" s="19" t="s">
        <v>4803</v>
      </c>
    </row>
    <row r="2194" spans="1:1" x14ac:dyDescent="0.25">
      <c r="A2194" s="19" t="s">
        <v>4804</v>
      </c>
    </row>
    <row r="2195" spans="1:1" x14ac:dyDescent="0.25">
      <c r="A2195" s="19" t="s">
        <v>4805</v>
      </c>
    </row>
    <row r="2196" spans="1:1" x14ac:dyDescent="0.25">
      <c r="A2196" s="19" t="s">
        <v>4806</v>
      </c>
    </row>
    <row r="2197" spans="1:1" x14ac:dyDescent="0.25">
      <c r="A2197" s="19" t="s">
        <v>4807</v>
      </c>
    </row>
    <row r="2198" spans="1:1" x14ac:dyDescent="0.25">
      <c r="A2198" s="19" t="s">
        <v>4808</v>
      </c>
    </row>
    <row r="2199" spans="1:1" x14ac:dyDescent="0.25">
      <c r="A2199" s="19" t="s">
        <v>4809</v>
      </c>
    </row>
    <row r="2200" spans="1:1" x14ac:dyDescent="0.25">
      <c r="A2200" s="19" t="s">
        <v>4810</v>
      </c>
    </row>
    <row r="2201" spans="1:1" x14ac:dyDescent="0.25">
      <c r="A2201" s="19" t="s">
        <v>4810</v>
      </c>
    </row>
    <row r="2202" spans="1:1" x14ac:dyDescent="0.25">
      <c r="A2202" s="19" t="s">
        <v>4811</v>
      </c>
    </row>
    <row r="2203" spans="1:1" x14ac:dyDescent="0.25">
      <c r="A2203" s="19" t="s">
        <v>4812</v>
      </c>
    </row>
    <row r="2204" spans="1:1" x14ac:dyDescent="0.25">
      <c r="A2204" s="19" t="s">
        <v>4813</v>
      </c>
    </row>
    <row r="2205" spans="1:1" x14ac:dyDescent="0.25">
      <c r="A2205" s="19" t="s">
        <v>4814</v>
      </c>
    </row>
    <row r="2206" spans="1:1" x14ac:dyDescent="0.25">
      <c r="A2206" s="19" t="s">
        <v>4815</v>
      </c>
    </row>
    <row r="2207" spans="1:1" x14ac:dyDescent="0.25">
      <c r="A2207" s="19" t="s">
        <v>4816</v>
      </c>
    </row>
    <row r="2208" spans="1:1" x14ac:dyDescent="0.25">
      <c r="A2208" s="19" t="s">
        <v>4817</v>
      </c>
    </row>
    <row r="2209" spans="1:1" x14ac:dyDescent="0.25">
      <c r="A2209" s="19" t="s">
        <v>4818</v>
      </c>
    </row>
    <row r="2210" spans="1:1" x14ac:dyDescent="0.25">
      <c r="A2210" s="19" t="s">
        <v>4819</v>
      </c>
    </row>
    <row r="2211" spans="1:1" x14ac:dyDescent="0.25">
      <c r="A2211" s="19" t="s">
        <v>4820</v>
      </c>
    </row>
    <row r="2212" spans="1:1" x14ac:dyDescent="0.25">
      <c r="A2212" s="19" t="s">
        <v>4821</v>
      </c>
    </row>
    <row r="2213" spans="1:1" x14ac:dyDescent="0.25">
      <c r="A2213" s="19" t="s">
        <v>4822</v>
      </c>
    </row>
    <row r="2214" spans="1:1" x14ac:dyDescent="0.25">
      <c r="A2214" s="19" t="s">
        <v>4823</v>
      </c>
    </row>
    <row r="2215" spans="1:1" x14ac:dyDescent="0.25">
      <c r="A2215" s="19" t="s">
        <v>4824</v>
      </c>
    </row>
    <row r="2216" spans="1:1" x14ac:dyDescent="0.25">
      <c r="A2216" s="19" t="s">
        <v>4825</v>
      </c>
    </row>
    <row r="2217" spans="1:1" x14ac:dyDescent="0.25">
      <c r="A2217" s="19" t="s">
        <v>4826</v>
      </c>
    </row>
    <row r="2218" spans="1:1" x14ac:dyDescent="0.25">
      <c r="A2218" s="19" t="s">
        <v>4827</v>
      </c>
    </row>
    <row r="2219" spans="1:1" x14ac:dyDescent="0.25">
      <c r="A2219" s="19" t="s">
        <v>4828</v>
      </c>
    </row>
    <row r="2220" spans="1:1" x14ac:dyDescent="0.25">
      <c r="A2220" s="19" t="s">
        <v>4829</v>
      </c>
    </row>
    <row r="2221" spans="1:1" x14ac:dyDescent="0.25">
      <c r="A2221" s="19" t="s">
        <v>4830</v>
      </c>
    </row>
    <row r="2222" spans="1:1" x14ac:dyDescent="0.25">
      <c r="A2222" s="19" t="s">
        <v>4831</v>
      </c>
    </row>
    <row r="2223" spans="1:1" x14ac:dyDescent="0.25">
      <c r="A2223" s="19" t="s">
        <v>4832</v>
      </c>
    </row>
    <row r="2224" spans="1:1" x14ac:dyDescent="0.25">
      <c r="A2224" s="19" t="s">
        <v>4833</v>
      </c>
    </row>
    <row r="2225" spans="1:1" x14ac:dyDescent="0.25">
      <c r="A2225" s="19" t="s">
        <v>4834</v>
      </c>
    </row>
    <row r="2226" spans="1:1" x14ac:dyDescent="0.25">
      <c r="A2226" s="19" t="s">
        <v>4835</v>
      </c>
    </row>
    <row r="2227" spans="1:1" x14ac:dyDescent="0.25">
      <c r="A2227" s="19" t="s">
        <v>4836</v>
      </c>
    </row>
    <row r="2228" spans="1:1" x14ac:dyDescent="0.25">
      <c r="A2228" s="19" t="s">
        <v>4837</v>
      </c>
    </row>
    <row r="2229" spans="1:1" x14ac:dyDescent="0.25">
      <c r="A2229" s="19" t="s">
        <v>4838</v>
      </c>
    </row>
    <row r="2230" spans="1:1" x14ac:dyDescent="0.25">
      <c r="A2230" s="19" t="s">
        <v>4839</v>
      </c>
    </row>
    <row r="2231" spans="1:1" x14ac:dyDescent="0.25">
      <c r="A2231" s="19" t="s">
        <v>4840</v>
      </c>
    </row>
    <row r="2232" spans="1:1" x14ac:dyDescent="0.25">
      <c r="A2232" s="19" t="s">
        <v>4841</v>
      </c>
    </row>
    <row r="2233" spans="1:1" x14ac:dyDescent="0.25">
      <c r="A2233" s="19" t="s">
        <v>4842</v>
      </c>
    </row>
    <row r="2234" spans="1:1" x14ac:dyDescent="0.25">
      <c r="A2234" s="19" t="s">
        <v>4843</v>
      </c>
    </row>
    <row r="2235" spans="1:1" x14ac:dyDescent="0.25">
      <c r="A2235" s="19" t="s">
        <v>4844</v>
      </c>
    </row>
    <row r="2236" spans="1:1" x14ac:dyDescent="0.25">
      <c r="A2236" s="19" t="s">
        <v>4845</v>
      </c>
    </row>
    <row r="2237" spans="1:1" x14ac:dyDescent="0.25">
      <c r="A2237" s="19" t="s">
        <v>4846</v>
      </c>
    </row>
    <row r="2238" spans="1:1" x14ac:dyDescent="0.25">
      <c r="A2238" s="19" t="s">
        <v>4847</v>
      </c>
    </row>
    <row r="2239" spans="1:1" x14ac:dyDescent="0.25">
      <c r="A2239" s="19" t="s">
        <v>4848</v>
      </c>
    </row>
    <row r="2240" spans="1:1" x14ac:dyDescent="0.25">
      <c r="A2240" s="19" t="s">
        <v>4849</v>
      </c>
    </row>
    <row r="2241" spans="1:1" x14ac:dyDescent="0.25">
      <c r="A2241" s="19" t="s">
        <v>4850</v>
      </c>
    </row>
    <row r="2242" spans="1:1" x14ac:dyDescent="0.25">
      <c r="A2242" s="19" t="s">
        <v>4851</v>
      </c>
    </row>
    <row r="2243" spans="1:1" x14ac:dyDescent="0.25">
      <c r="A2243" s="19" t="s">
        <v>4852</v>
      </c>
    </row>
    <row r="2244" spans="1:1" x14ac:dyDescent="0.25">
      <c r="A2244" s="19" t="s">
        <v>4853</v>
      </c>
    </row>
    <row r="2245" spans="1:1" x14ac:dyDescent="0.25">
      <c r="A2245" s="19" t="s">
        <v>4854</v>
      </c>
    </row>
    <row r="2246" spans="1:1" x14ac:dyDescent="0.25">
      <c r="A2246" s="19" t="s">
        <v>4855</v>
      </c>
    </row>
    <row r="2247" spans="1:1" x14ac:dyDescent="0.25">
      <c r="A2247" s="19" t="s">
        <v>4856</v>
      </c>
    </row>
    <row r="2248" spans="1:1" x14ac:dyDescent="0.25">
      <c r="A2248" s="19" t="s">
        <v>4857</v>
      </c>
    </row>
    <row r="2249" spans="1:1" x14ac:dyDescent="0.25">
      <c r="A2249" s="19" t="s">
        <v>4858</v>
      </c>
    </row>
    <row r="2250" spans="1:1" x14ac:dyDescent="0.25">
      <c r="A2250" s="19" t="s">
        <v>4859</v>
      </c>
    </row>
    <row r="2251" spans="1:1" x14ac:dyDescent="0.25">
      <c r="A2251" s="19" t="s">
        <v>4860</v>
      </c>
    </row>
    <row r="2252" spans="1:1" x14ac:dyDescent="0.25">
      <c r="A2252" s="19" t="s">
        <v>4861</v>
      </c>
    </row>
    <row r="2253" spans="1:1" x14ac:dyDescent="0.25">
      <c r="A2253" s="19" t="s">
        <v>4862</v>
      </c>
    </row>
    <row r="2254" spans="1:1" x14ac:dyDescent="0.25">
      <c r="A2254" s="19" t="s">
        <v>4863</v>
      </c>
    </row>
    <row r="2255" spans="1:1" x14ac:dyDescent="0.25">
      <c r="A2255" s="19" t="s">
        <v>4864</v>
      </c>
    </row>
    <row r="2256" spans="1:1" x14ac:dyDescent="0.25">
      <c r="A2256" s="19" t="s">
        <v>4865</v>
      </c>
    </row>
    <row r="2257" spans="1:1" x14ac:dyDescent="0.25">
      <c r="A2257" s="19" t="s">
        <v>4866</v>
      </c>
    </row>
    <row r="2258" spans="1:1" x14ac:dyDescent="0.25">
      <c r="A2258" s="19" t="s">
        <v>4867</v>
      </c>
    </row>
    <row r="2259" spans="1:1" x14ac:dyDescent="0.25">
      <c r="A2259" s="19" t="s">
        <v>4868</v>
      </c>
    </row>
    <row r="2260" spans="1:1" x14ac:dyDescent="0.25">
      <c r="A2260" s="19" t="s">
        <v>4869</v>
      </c>
    </row>
    <row r="2261" spans="1:1" x14ac:dyDescent="0.25">
      <c r="A2261" s="19" t="s">
        <v>4870</v>
      </c>
    </row>
    <row r="2262" spans="1:1" x14ac:dyDescent="0.25">
      <c r="A2262" s="19" t="s">
        <v>4871</v>
      </c>
    </row>
    <row r="2263" spans="1:1" x14ac:dyDescent="0.25">
      <c r="A2263" s="19" t="s">
        <v>4872</v>
      </c>
    </row>
    <row r="2264" spans="1:1" x14ac:dyDescent="0.25">
      <c r="A2264" s="19" t="s">
        <v>4873</v>
      </c>
    </row>
    <row r="2265" spans="1:1" x14ac:dyDescent="0.25">
      <c r="A2265" s="19" t="s">
        <v>4874</v>
      </c>
    </row>
    <row r="2266" spans="1:1" x14ac:dyDescent="0.25">
      <c r="A2266" s="19" t="s">
        <v>4875</v>
      </c>
    </row>
    <row r="2267" spans="1:1" x14ac:dyDescent="0.25">
      <c r="A2267" s="19" t="s">
        <v>4876</v>
      </c>
    </row>
    <row r="2268" spans="1:1" x14ac:dyDescent="0.25">
      <c r="A2268" s="19" t="s">
        <v>4877</v>
      </c>
    </row>
    <row r="2269" spans="1:1" x14ac:dyDescent="0.25">
      <c r="A2269" s="19" t="s">
        <v>4878</v>
      </c>
    </row>
    <row r="2270" spans="1:1" x14ac:dyDescent="0.25">
      <c r="A2270" s="19" t="s">
        <v>4879</v>
      </c>
    </row>
    <row r="2271" spans="1:1" x14ac:dyDescent="0.25">
      <c r="A2271" s="19" t="s">
        <v>4880</v>
      </c>
    </row>
    <row r="2272" spans="1:1" x14ac:dyDescent="0.25">
      <c r="A2272" s="19" t="s">
        <v>4881</v>
      </c>
    </row>
    <row r="2273" spans="1:1" x14ac:dyDescent="0.25">
      <c r="A2273" s="19" t="s">
        <v>4881</v>
      </c>
    </row>
    <row r="2274" spans="1:1" x14ac:dyDescent="0.25">
      <c r="A2274" s="19" t="s">
        <v>4882</v>
      </c>
    </row>
    <row r="2275" spans="1:1" x14ac:dyDescent="0.25">
      <c r="A2275" s="19" t="s">
        <v>4883</v>
      </c>
    </row>
    <row r="2276" spans="1:1" x14ac:dyDescent="0.25">
      <c r="A2276" s="19" t="s">
        <v>4884</v>
      </c>
    </row>
    <row r="2277" spans="1:1" x14ac:dyDescent="0.25">
      <c r="A2277" s="19" t="s">
        <v>4885</v>
      </c>
    </row>
    <row r="2278" spans="1:1" x14ac:dyDescent="0.25">
      <c r="A2278" s="19" t="s">
        <v>4886</v>
      </c>
    </row>
    <row r="2279" spans="1:1" x14ac:dyDescent="0.25">
      <c r="A2279" s="19" t="s">
        <v>4887</v>
      </c>
    </row>
    <row r="2280" spans="1:1" x14ac:dyDescent="0.25">
      <c r="A2280" s="19" t="s">
        <v>4888</v>
      </c>
    </row>
    <row r="2281" spans="1:1" x14ac:dyDescent="0.25">
      <c r="A2281" s="19" t="s">
        <v>4889</v>
      </c>
    </row>
    <row r="2282" spans="1:1" x14ac:dyDescent="0.25">
      <c r="A2282" s="19" t="s">
        <v>4890</v>
      </c>
    </row>
    <row r="2283" spans="1:1" x14ac:dyDescent="0.25">
      <c r="A2283" s="19" t="s">
        <v>4891</v>
      </c>
    </row>
    <row r="2284" spans="1:1" x14ac:dyDescent="0.25">
      <c r="A2284" s="19" t="s">
        <v>4892</v>
      </c>
    </row>
    <row r="2285" spans="1:1" x14ac:dyDescent="0.25">
      <c r="A2285" s="19" t="s">
        <v>4893</v>
      </c>
    </row>
    <row r="2286" spans="1:1" x14ac:dyDescent="0.25">
      <c r="A2286" s="19" t="s">
        <v>4894</v>
      </c>
    </row>
    <row r="2287" spans="1:1" x14ac:dyDescent="0.25">
      <c r="A2287" s="19" t="s">
        <v>4895</v>
      </c>
    </row>
    <row r="2288" spans="1:1" x14ac:dyDescent="0.25">
      <c r="A2288" s="19" t="s">
        <v>4896</v>
      </c>
    </row>
    <row r="2289" spans="1:1" x14ac:dyDescent="0.25">
      <c r="A2289" s="19" t="s">
        <v>4897</v>
      </c>
    </row>
    <row r="2290" spans="1:1" x14ac:dyDescent="0.25">
      <c r="A2290" s="19" t="s">
        <v>4898</v>
      </c>
    </row>
    <row r="2291" spans="1:1" x14ac:dyDescent="0.25">
      <c r="A2291" s="19" t="s">
        <v>4899</v>
      </c>
    </row>
    <row r="2292" spans="1:1" x14ac:dyDescent="0.25">
      <c r="A2292" s="19" t="s">
        <v>4900</v>
      </c>
    </row>
    <row r="2293" spans="1:1" x14ac:dyDescent="0.25">
      <c r="A2293" s="19" t="s">
        <v>4901</v>
      </c>
    </row>
    <row r="2294" spans="1:1" x14ac:dyDescent="0.25">
      <c r="A2294" s="19" t="s">
        <v>4902</v>
      </c>
    </row>
    <row r="2295" spans="1:1" x14ac:dyDescent="0.25">
      <c r="A2295" s="19" t="s">
        <v>4903</v>
      </c>
    </row>
    <row r="2296" spans="1:1" x14ac:dyDescent="0.25">
      <c r="A2296" s="19" t="s">
        <v>4904</v>
      </c>
    </row>
    <row r="2297" spans="1:1" x14ac:dyDescent="0.25">
      <c r="A2297" s="19" t="s">
        <v>4905</v>
      </c>
    </row>
    <row r="2298" spans="1:1" x14ac:dyDescent="0.25">
      <c r="A2298" s="19" t="s">
        <v>4906</v>
      </c>
    </row>
    <row r="2299" spans="1:1" x14ac:dyDescent="0.25">
      <c r="A2299" s="19" t="s">
        <v>4907</v>
      </c>
    </row>
    <row r="2300" spans="1:1" x14ac:dyDescent="0.25">
      <c r="A2300" s="19" t="s">
        <v>4908</v>
      </c>
    </row>
    <row r="2301" spans="1:1" x14ac:dyDescent="0.25">
      <c r="A2301" s="19" t="s">
        <v>4909</v>
      </c>
    </row>
    <row r="2302" spans="1:1" x14ac:dyDescent="0.25">
      <c r="A2302" s="19" t="s">
        <v>4910</v>
      </c>
    </row>
    <row r="2303" spans="1:1" x14ac:dyDescent="0.25">
      <c r="A2303" s="19" t="s">
        <v>4911</v>
      </c>
    </row>
    <row r="2304" spans="1:1" x14ac:dyDescent="0.25">
      <c r="A2304" s="19" t="s">
        <v>4912</v>
      </c>
    </row>
    <row r="2305" spans="1:1" x14ac:dyDescent="0.25">
      <c r="A2305" s="19" t="s">
        <v>4913</v>
      </c>
    </row>
    <row r="2306" spans="1:1" x14ac:dyDescent="0.25">
      <c r="A2306" s="19" t="s">
        <v>4914</v>
      </c>
    </row>
    <row r="2307" spans="1:1" x14ac:dyDescent="0.25">
      <c r="A2307" s="19" t="s">
        <v>4915</v>
      </c>
    </row>
    <row r="2308" spans="1:1" x14ac:dyDescent="0.25">
      <c r="A2308" s="19" t="s">
        <v>4916</v>
      </c>
    </row>
    <row r="2309" spans="1:1" x14ac:dyDescent="0.25">
      <c r="A2309" s="19" t="s">
        <v>4917</v>
      </c>
    </row>
    <row r="2310" spans="1:1" x14ac:dyDescent="0.25">
      <c r="A2310" s="19" t="s">
        <v>4918</v>
      </c>
    </row>
    <row r="2311" spans="1:1" x14ac:dyDescent="0.25">
      <c r="A2311" s="19" t="s">
        <v>4919</v>
      </c>
    </row>
    <row r="2312" spans="1:1" x14ac:dyDescent="0.25">
      <c r="A2312" s="19" t="s">
        <v>4920</v>
      </c>
    </row>
    <row r="2313" spans="1:1" x14ac:dyDescent="0.25">
      <c r="A2313" s="19" t="s">
        <v>4920</v>
      </c>
    </row>
    <row r="2314" spans="1:1" x14ac:dyDescent="0.25">
      <c r="A2314" s="19" t="s">
        <v>4921</v>
      </c>
    </row>
    <row r="2315" spans="1:1" x14ac:dyDescent="0.25">
      <c r="A2315" s="19" t="s">
        <v>4922</v>
      </c>
    </row>
    <row r="2316" spans="1:1" x14ac:dyDescent="0.25">
      <c r="A2316" s="19" t="s">
        <v>4923</v>
      </c>
    </row>
    <row r="2317" spans="1:1" x14ac:dyDescent="0.25">
      <c r="A2317" s="19" t="s">
        <v>4924</v>
      </c>
    </row>
    <row r="2318" spans="1:1" x14ac:dyDescent="0.25">
      <c r="A2318" s="19" t="s">
        <v>4925</v>
      </c>
    </row>
    <row r="2319" spans="1:1" x14ac:dyDescent="0.25">
      <c r="A2319" s="19" t="s">
        <v>4926</v>
      </c>
    </row>
    <row r="2320" spans="1:1" x14ac:dyDescent="0.25">
      <c r="A2320" s="19" t="s">
        <v>4927</v>
      </c>
    </row>
    <row r="2321" spans="1:1" x14ac:dyDescent="0.25">
      <c r="A2321" s="19" t="s">
        <v>4928</v>
      </c>
    </row>
    <row r="2322" spans="1:1" x14ac:dyDescent="0.25">
      <c r="A2322" s="19" t="s">
        <v>4929</v>
      </c>
    </row>
    <row r="2323" spans="1:1" x14ac:dyDescent="0.25">
      <c r="A2323" s="19" t="s">
        <v>4930</v>
      </c>
    </row>
    <row r="2324" spans="1:1" x14ac:dyDescent="0.25">
      <c r="A2324" s="19" t="s">
        <v>4931</v>
      </c>
    </row>
    <row r="2325" spans="1:1" x14ac:dyDescent="0.25">
      <c r="A2325" s="19" t="s">
        <v>4932</v>
      </c>
    </row>
    <row r="2326" spans="1:1" x14ac:dyDescent="0.25">
      <c r="A2326" s="19" t="s">
        <v>4933</v>
      </c>
    </row>
    <row r="2327" spans="1:1" x14ac:dyDescent="0.25">
      <c r="A2327" s="19" t="s">
        <v>4934</v>
      </c>
    </row>
    <row r="2328" spans="1:1" x14ac:dyDescent="0.25">
      <c r="A2328" s="19" t="s">
        <v>4934</v>
      </c>
    </row>
    <row r="2329" spans="1:1" x14ac:dyDescent="0.25">
      <c r="A2329" s="19" t="s">
        <v>4935</v>
      </c>
    </row>
    <row r="2330" spans="1:1" x14ac:dyDescent="0.25">
      <c r="A2330" s="19" t="s">
        <v>4936</v>
      </c>
    </row>
    <row r="2331" spans="1:1" x14ac:dyDescent="0.25">
      <c r="A2331" s="19" t="s">
        <v>4937</v>
      </c>
    </row>
    <row r="2332" spans="1:1" x14ac:dyDescent="0.25">
      <c r="A2332" s="19" t="s">
        <v>4938</v>
      </c>
    </row>
    <row r="2333" spans="1:1" x14ac:dyDescent="0.25">
      <c r="A2333" s="19" t="s">
        <v>4939</v>
      </c>
    </row>
    <row r="2334" spans="1:1" x14ac:dyDescent="0.25">
      <c r="A2334" s="19" t="s">
        <v>4940</v>
      </c>
    </row>
    <row r="2335" spans="1:1" x14ac:dyDescent="0.25">
      <c r="A2335" s="19" t="s">
        <v>4941</v>
      </c>
    </row>
    <row r="2336" spans="1:1" x14ac:dyDescent="0.25">
      <c r="A2336" s="19" t="s">
        <v>4942</v>
      </c>
    </row>
    <row r="2337" spans="1:1" x14ac:dyDescent="0.25">
      <c r="A2337" s="19" t="s">
        <v>4943</v>
      </c>
    </row>
    <row r="2338" spans="1:1" x14ac:dyDescent="0.25">
      <c r="A2338" s="19" t="s">
        <v>4944</v>
      </c>
    </row>
    <row r="2339" spans="1:1" x14ac:dyDescent="0.25">
      <c r="A2339" s="19" t="s">
        <v>4945</v>
      </c>
    </row>
    <row r="2340" spans="1:1" x14ac:dyDescent="0.25">
      <c r="A2340" s="19" t="s">
        <v>4946</v>
      </c>
    </row>
    <row r="2341" spans="1:1" x14ac:dyDescent="0.25">
      <c r="A2341" s="19" t="s">
        <v>4947</v>
      </c>
    </row>
    <row r="2342" spans="1:1" x14ac:dyDescent="0.25">
      <c r="A2342" s="19" t="s">
        <v>4948</v>
      </c>
    </row>
    <row r="2343" spans="1:1" x14ac:dyDescent="0.25">
      <c r="A2343" s="19" t="s">
        <v>4949</v>
      </c>
    </row>
    <row r="2344" spans="1:1" x14ac:dyDescent="0.25">
      <c r="A2344" s="19" t="s">
        <v>4950</v>
      </c>
    </row>
    <row r="2345" spans="1:1" x14ac:dyDescent="0.25">
      <c r="A2345" s="19" t="s">
        <v>4951</v>
      </c>
    </row>
    <row r="2346" spans="1:1" x14ac:dyDescent="0.25">
      <c r="A2346" s="19" t="s">
        <v>4952</v>
      </c>
    </row>
    <row r="2347" spans="1:1" x14ac:dyDescent="0.25">
      <c r="A2347" s="19" t="s">
        <v>4953</v>
      </c>
    </row>
    <row r="2348" spans="1:1" x14ac:dyDescent="0.25">
      <c r="A2348" s="19" t="s">
        <v>4954</v>
      </c>
    </row>
    <row r="2349" spans="1:1" x14ac:dyDescent="0.25">
      <c r="A2349" s="19" t="s">
        <v>4955</v>
      </c>
    </row>
    <row r="2350" spans="1:1" x14ac:dyDescent="0.25">
      <c r="A2350" s="19" t="s">
        <v>4956</v>
      </c>
    </row>
    <row r="2351" spans="1:1" x14ac:dyDescent="0.25">
      <c r="A2351" s="19" t="s">
        <v>4957</v>
      </c>
    </row>
    <row r="2352" spans="1:1" x14ac:dyDescent="0.25">
      <c r="A2352" s="19" t="s">
        <v>4958</v>
      </c>
    </row>
    <row r="2353" spans="1:1" x14ac:dyDescent="0.25">
      <c r="A2353" s="19" t="s">
        <v>4959</v>
      </c>
    </row>
    <row r="2354" spans="1:1" x14ac:dyDescent="0.25">
      <c r="A2354" s="19" t="s">
        <v>4960</v>
      </c>
    </row>
    <row r="2355" spans="1:1" x14ac:dyDescent="0.25">
      <c r="A2355" s="19" t="s">
        <v>4961</v>
      </c>
    </row>
    <row r="2356" spans="1:1" x14ac:dyDescent="0.25">
      <c r="A2356" s="19" t="s">
        <v>4962</v>
      </c>
    </row>
    <row r="2357" spans="1:1" x14ac:dyDescent="0.25">
      <c r="A2357" s="19" t="s">
        <v>4963</v>
      </c>
    </row>
    <row r="2358" spans="1:1" x14ac:dyDescent="0.25">
      <c r="A2358" s="19" t="s">
        <v>4964</v>
      </c>
    </row>
    <row r="2359" spans="1:1" x14ac:dyDescent="0.25">
      <c r="A2359" s="19" t="s">
        <v>4965</v>
      </c>
    </row>
    <row r="2360" spans="1:1" x14ac:dyDescent="0.25">
      <c r="A2360" s="19" t="s">
        <v>4966</v>
      </c>
    </row>
    <row r="2361" spans="1:1" x14ac:dyDescent="0.25">
      <c r="A2361" s="19" t="s">
        <v>4967</v>
      </c>
    </row>
    <row r="2362" spans="1:1" x14ac:dyDescent="0.25">
      <c r="A2362" s="19" t="s">
        <v>4968</v>
      </c>
    </row>
    <row r="2363" spans="1:1" x14ac:dyDescent="0.25">
      <c r="A2363" s="19" t="s">
        <v>4969</v>
      </c>
    </row>
    <row r="2364" spans="1:1" x14ac:dyDescent="0.25">
      <c r="A2364" s="19" t="s">
        <v>4970</v>
      </c>
    </row>
    <row r="2365" spans="1:1" x14ac:dyDescent="0.25">
      <c r="A2365" s="19" t="s">
        <v>4971</v>
      </c>
    </row>
    <row r="2366" spans="1:1" x14ac:dyDescent="0.25">
      <c r="A2366" s="19" t="s">
        <v>4972</v>
      </c>
    </row>
    <row r="2367" spans="1:1" x14ac:dyDescent="0.25">
      <c r="A2367" s="19" t="s">
        <v>4973</v>
      </c>
    </row>
    <row r="2368" spans="1:1" x14ac:dyDescent="0.25">
      <c r="A2368" s="19" t="s">
        <v>4973</v>
      </c>
    </row>
    <row r="2369" spans="1:1" x14ac:dyDescent="0.25">
      <c r="A2369" s="19" t="s">
        <v>4974</v>
      </c>
    </row>
    <row r="2370" spans="1:1" x14ac:dyDescent="0.25">
      <c r="A2370" s="19" t="s">
        <v>4975</v>
      </c>
    </row>
    <row r="2371" spans="1:1" x14ac:dyDescent="0.25">
      <c r="A2371" s="19" t="s">
        <v>4975</v>
      </c>
    </row>
    <row r="2372" spans="1:1" x14ac:dyDescent="0.25">
      <c r="A2372" s="19" t="s">
        <v>4976</v>
      </c>
    </row>
    <row r="2373" spans="1:1" x14ac:dyDescent="0.25">
      <c r="A2373" s="19" t="s">
        <v>4977</v>
      </c>
    </row>
    <row r="2374" spans="1:1" x14ac:dyDescent="0.25">
      <c r="A2374" s="19" t="s">
        <v>4978</v>
      </c>
    </row>
    <row r="2375" spans="1:1" x14ac:dyDescent="0.25">
      <c r="A2375" s="19" t="s">
        <v>4979</v>
      </c>
    </row>
    <row r="2376" spans="1:1" x14ac:dyDescent="0.25">
      <c r="A2376" s="19" t="s">
        <v>4980</v>
      </c>
    </row>
    <row r="2377" spans="1:1" x14ac:dyDescent="0.25">
      <c r="A2377" s="19" t="s">
        <v>4981</v>
      </c>
    </row>
    <row r="2378" spans="1:1" x14ac:dyDescent="0.25">
      <c r="A2378" s="19" t="s">
        <v>4982</v>
      </c>
    </row>
    <row r="2379" spans="1:1" x14ac:dyDescent="0.25">
      <c r="A2379" s="19" t="s">
        <v>4983</v>
      </c>
    </row>
    <row r="2380" spans="1:1" x14ac:dyDescent="0.25">
      <c r="A2380" s="19" t="s">
        <v>4984</v>
      </c>
    </row>
    <row r="2381" spans="1:1" x14ac:dyDescent="0.25">
      <c r="A2381" s="19" t="s">
        <v>4985</v>
      </c>
    </row>
    <row r="2382" spans="1:1" x14ac:dyDescent="0.25">
      <c r="A2382" s="19" t="s">
        <v>4986</v>
      </c>
    </row>
    <row r="2383" spans="1:1" x14ac:dyDescent="0.25">
      <c r="A2383" s="19" t="s">
        <v>4987</v>
      </c>
    </row>
    <row r="2384" spans="1:1" x14ac:dyDescent="0.25">
      <c r="A2384" s="19" t="s">
        <v>4988</v>
      </c>
    </row>
    <row r="2385" spans="1:1" x14ac:dyDescent="0.25">
      <c r="A2385" s="19" t="s">
        <v>4989</v>
      </c>
    </row>
    <row r="2386" spans="1:1" x14ac:dyDescent="0.25">
      <c r="A2386" s="19" t="s">
        <v>4990</v>
      </c>
    </row>
    <row r="2387" spans="1:1" x14ac:dyDescent="0.25">
      <c r="A2387" s="19" t="s">
        <v>4991</v>
      </c>
    </row>
    <row r="2388" spans="1:1" x14ac:dyDescent="0.25">
      <c r="A2388" s="19" t="s">
        <v>4992</v>
      </c>
    </row>
    <row r="2389" spans="1:1" x14ac:dyDescent="0.25">
      <c r="A2389" s="19" t="s">
        <v>4993</v>
      </c>
    </row>
    <row r="2390" spans="1:1" x14ac:dyDescent="0.25">
      <c r="A2390" s="19" t="s">
        <v>4994</v>
      </c>
    </row>
    <row r="2391" spans="1:1" x14ac:dyDescent="0.25">
      <c r="A2391" s="19" t="s">
        <v>4995</v>
      </c>
    </row>
    <row r="2392" spans="1:1" x14ac:dyDescent="0.25">
      <c r="A2392" s="19" t="s">
        <v>4996</v>
      </c>
    </row>
    <row r="2393" spans="1:1" x14ac:dyDescent="0.25">
      <c r="A2393" s="19" t="s">
        <v>4997</v>
      </c>
    </row>
    <row r="2394" spans="1:1" x14ac:dyDescent="0.25">
      <c r="A2394" s="19" t="s">
        <v>4998</v>
      </c>
    </row>
    <row r="2395" spans="1:1" x14ac:dyDescent="0.25">
      <c r="A2395" s="19" t="s">
        <v>4999</v>
      </c>
    </row>
    <row r="2396" spans="1:1" x14ac:dyDescent="0.25">
      <c r="A2396" s="19" t="s">
        <v>5000</v>
      </c>
    </row>
    <row r="2397" spans="1:1" x14ac:dyDescent="0.25">
      <c r="A2397" s="19" t="s">
        <v>5001</v>
      </c>
    </row>
    <row r="2398" spans="1:1" x14ac:dyDescent="0.25">
      <c r="A2398" s="19" t="s">
        <v>5002</v>
      </c>
    </row>
    <row r="2399" spans="1:1" x14ac:dyDescent="0.25">
      <c r="A2399" s="19" t="s">
        <v>5003</v>
      </c>
    </row>
    <row r="2400" spans="1:1" x14ac:dyDescent="0.25">
      <c r="A2400" s="19" t="s">
        <v>5004</v>
      </c>
    </row>
    <row r="2401" spans="1:1" x14ac:dyDescent="0.25">
      <c r="A2401" s="19" t="s">
        <v>5005</v>
      </c>
    </row>
    <row r="2402" spans="1:1" x14ac:dyDescent="0.25">
      <c r="A2402" s="19" t="s">
        <v>5006</v>
      </c>
    </row>
    <row r="2403" spans="1:1" x14ac:dyDescent="0.25">
      <c r="A2403" s="19" t="s">
        <v>5007</v>
      </c>
    </row>
    <row r="2404" spans="1:1" x14ac:dyDescent="0.25">
      <c r="A2404" s="19" t="s">
        <v>5008</v>
      </c>
    </row>
    <row r="2405" spans="1:1" x14ac:dyDescent="0.25">
      <c r="A2405" s="19" t="s">
        <v>5009</v>
      </c>
    </row>
    <row r="2406" spans="1:1" x14ac:dyDescent="0.25">
      <c r="A2406" s="19" t="s">
        <v>5010</v>
      </c>
    </row>
    <row r="2407" spans="1:1" x14ac:dyDescent="0.25">
      <c r="A2407" s="19" t="s">
        <v>5011</v>
      </c>
    </row>
    <row r="2408" spans="1:1" x14ac:dyDescent="0.25">
      <c r="A2408" s="19" t="s">
        <v>5012</v>
      </c>
    </row>
    <row r="2409" spans="1:1" x14ac:dyDescent="0.25">
      <c r="A2409" s="19" t="s">
        <v>5013</v>
      </c>
    </row>
    <row r="2410" spans="1:1" x14ac:dyDescent="0.25">
      <c r="A2410" s="19" t="s">
        <v>5014</v>
      </c>
    </row>
    <row r="2411" spans="1:1" x14ac:dyDescent="0.25">
      <c r="A2411" s="19" t="s">
        <v>5015</v>
      </c>
    </row>
    <row r="2412" spans="1:1" x14ac:dyDescent="0.25">
      <c r="A2412" s="19" t="s">
        <v>5016</v>
      </c>
    </row>
    <row r="2413" spans="1:1" x14ac:dyDescent="0.25">
      <c r="A2413" s="19" t="s">
        <v>5017</v>
      </c>
    </row>
    <row r="2414" spans="1:1" x14ac:dyDescent="0.25">
      <c r="A2414" s="19" t="s">
        <v>5018</v>
      </c>
    </row>
    <row r="2415" spans="1:1" x14ac:dyDescent="0.25">
      <c r="A2415" s="19" t="s">
        <v>5019</v>
      </c>
    </row>
    <row r="2416" spans="1:1" x14ac:dyDescent="0.25">
      <c r="A2416" s="19" t="s">
        <v>5020</v>
      </c>
    </row>
    <row r="2417" spans="1:1" x14ac:dyDescent="0.25">
      <c r="A2417" s="19" t="s">
        <v>5021</v>
      </c>
    </row>
    <row r="2418" spans="1:1" x14ac:dyDescent="0.25">
      <c r="A2418" s="19" t="s">
        <v>5022</v>
      </c>
    </row>
    <row r="2419" spans="1:1" x14ac:dyDescent="0.25">
      <c r="A2419" s="19" t="s">
        <v>5023</v>
      </c>
    </row>
    <row r="2420" spans="1:1" x14ac:dyDescent="0.25">
      <c r="A2420" s="19" t="s">
        <v>5024</v>
      </c>
    </row>
    <row r="2421" spans="1:1" x14ac:dyDescent="0.25">
      <c r="A2421" s="19" t="s">
        <v>5025</v>
      </c>
    </row>
    <row r="2422" spans="1:1" x14ac:dyDescent="0.25">
      <c r="A2422" s="19" t="s">
        <v>5026</v>
      </c>
    </row>
    <row r="2423" spans="1:1" x14ac:dyDescent="0.25">
      <c r="A2423" s="19" t="s">
        <v>5027</v>
      </c>
    </row>
    <row r="2424" spans="1:1" x14ac:dyDescent="0.25">
      <c r="A2424" s="19" t="s">
        <v>5028</v>
      </c>
    </row>
    <row r="2425" spans="1:1" x14ac:dyDescent="0.25">
      <c r="A2425" s="19" t="s">
        <v>5029</v>
      </c>
    </row>
    <row r="2426" spans="1:1" x14ac:dyDescent="0.25">
      <c r="A2426" s="19" t="s">
        <v>5030</v>
      </c>
    </row>
    <row r="2427" spans="1:1" x14ac:dyDescent="0.25">
      <c r="A2427" s="19" t="s">
        <v>5031</v>
      </c>
    </row>
    <row r="2428" spans="1:1" x14ac:dyDescent="0.25">
      <c r="A2428" s="19" t="s">
        <v>5032</v>
      </c>
    </row>
    <row r="2429" spans="1:1" x14ac:dyDescent="0.25">
      <c r="A2429" s="19" t="s">
        <v>5033</v>
      </c>
    </row>
    <row r="2430" spans="1:1" x14ac:dyDescent="0.25">
      <c r="A2430" s="19" t="s">
        <v>5034</v>
      </c>
    </row>
    <row r="2431" spans="1:1" x14ac:dyDescent="0.25">
      <c r="A2431" s="19" t="s">
        <v>5035</v>
      </c>
    </row>
    <row r="2432" spans="1:1" x14ac:dyDescent="0.25">
      <c r="A2432" s="19" t="s">
        <v>5036</v>
      </c>
    </row>
    <row r="2433" spans="1:1" x14ac:dyDescent="0.25">
      <c r="A2433" s="19" t="s">
        <v>5037</v>
      </c>
    </row>
    <row r="2434" spans="1:1" x14ac:dyDescent="0.25">
      <c r="A2434" s="19" t="s">
        <v>5038</v>
      </c>
    </row>
    <row r="2435" spans="1:1" x14ac:dyDescent="0.25">
      <c r="A2435" s="19" t="s">
        <v>5039</v>
      </c>
    </row>
    <row r="2436" spans="1:1" x14ac:dyDescent="0.25">
      <c r="A2436" s="19" t="s">
        <v>5040</v>
      </c>
    </row>
    <row r="2437" spans="1:1" x14ac:dyDescent="0.25">
      <c r="A2437" s="19" t="s">
        <v>5041</v>
      </c>
    </row>
    <row r="2438" spans="1:1" x14ac:dyDescent="0.25">
      <c r="A2438" s="19" t="s">
        <v>5042</v>
      </c>
    </row>
    <row r="2439" spans="1:1" x14ac:dyDescent="0.25">
      <c r="A2439" s="19" t="s">
        <v>5043</v>
      </c>
    </row>
    <row r="2440" spans="1:1" x14ac:dyDescent="0.25">
      <c r="A2440" s="19" t="s">
        <v>5044</v>
      </c>
    </row>
    <row r="2441" spans="1:1" x14ac:dyDescent="0.25">
      <c r="A2441" s="19" t="s">
        <v>5045</v>
      </c>
    </row>
    <row r="2442" spans="1:1" x14ac:dyDescent="0.25">
      <c r="A2442" s="19" t="s">
        <v>5046</v>
      </c>
    </row>
    <row r="2443" spans="1:1" x14ac:dyDescent="0.25">
      <c r="A2443" s="19" t="s">
        <v>5047</v>
      </c>
    </row>
    <row r="2444" spans="1:1" x14ac:dyDescent="0.25">
      <c r="A2444" s="19" t="s">
        <v>5048</v>
      </c>
    </row>
    <row r="2445" spans="1:1" x14ac:dyDescent="0.25">
      <c r="A2445" s="19" t="s">
        <v>5049</v>
      </c>
    </row>
    <row r="2446" spans="1:1" x14ac:dyDescent="0.25">
      <c r="A2446" s="19" t="s">
        <v>5050</v>
      </c>
    </row>
    <row r="2447" spans="1:1" x14ac:dyDescent="0.25">
      <c r="A2447" s="19" t="s">
        <v>5051</v>
      </c>
    </row>
    <row r="2448" spans="1:1" x14ac:dyDescent="0.25">
      <c r="A2448" s="19" t="s">
        <v>5052</v>
      </c>
    </row>
    <row r="2449" spans="1:1" x14ac:dyDescent="0.25">
      <c r="A2449" s="19" t="s">
        <v>5053</v>
      </c>
    </row>
    <row r="2450" spans="1:1" x14ac:dyDescent="0.25">
      <c r="A2450" s="19" t="s">
        <v>5054</v>
      </c>
    </row>
    <row r="2451" spans="1:1" x14ac:dyDescent="0.25">
      <c r="A2451" s="19" t="s">
        <v>5055</v>
      </c>
    </row>
    <row r="2452" spans="1:1" x14ac:dyDescent="0.25">
      <c r="A2452" s="19" t="s">
        <v>5056</v>
      </c>
    </row>
    <row r="2453" spans="1:1" x14ac:dyDescent="0.25">
      <c r="A2453" s="19" t="s">
        <v>5057</v>
      </c>
    </row>
    <row r="2454" spans="1:1" x14ac:dyDescent="0.25">
      <c r="A2454" s="19" t="s">
        <v>5058</v>
      </c>
    </row>
    <row r="2455" spans="1:1" x14ac:dyDescent="0.25">
      <c r="A2455" s="19" t="s">
        <v>5059</v>
      </c>
    </row>
    <row r="2456" spans="1:1" x14ac:dyDescent="0.25">
      <c r="A2456" s="19" t="s">
        <v>5060</v>
      </c>
    </row>
    <row r="2457" spans="1:1" x14ac:dyDescent="0.25">
      <c r="A2457" s="19" t="s">
        <v>5061</v>
      </c>
    </row>
    <row r="2458" spans="1:1" x14ac:dyDescent="0.25">
      <c r="A2458" s="19" t="s">
        <v>5062</v>
      </c>
    </row>
    <row r="2459" spans="1:1" x14ac:dyDescent="0.25">
      <c r="A2459" s="19" t="s">
        <v>5063</v>
      </c>
    </row>
    <row r="2460" spans="1:1" x14ac:dyDescent="0.25">
      <c r="A2460" s="19" t="s">
        <v>5064</v>
      </c>
    </row>
    <row r="2461" spans="1:1" x14ac:dyDescent="0.25">
      <c r="A2461" s="19" t="s">
        <v>5065</v>
      </c>
    </row>
    <row r="2462" spans="1:1" x14ac:dyDescent="0.25">
      <c r="A2462" s="19" t="s">
        <v>5066</v>
      </c>
    </row>
    <row r="2463" spans="1:1" x14ac:dyDescent="0.25">
      <c r="A2463" s="19" t="s">
        <v>5067</v>
      </c>
    </row>
    <row r="2464" spans="1:1" x14ac:dyDescent="0.25">
      <c r="A2464" s="19" t="s">
        <v>5068</v>
      </c>
    </row>
    <row r="2465" spans="1:1" x14ac:dyDescent="0.25">
      <c r="A2465" s="19" t="s">
        <v>5068</v>
      </c>
    </row>
    <row r="2466" spans="1:1" x14ac:dyDescent="0.25">
      <c r="A2466" s="19" t="s">
        <v>5069</v>
      </c>
    </row>
    <row r="2467" spans="1:1" x14ac:dyDescent="0.25">
      <c r="A2467" s="19" t="s">
        <v>5070</v>
      </c>
    </row>
    <row r="2468" spans="1:1" x14ac:dyDescent="0.25">
      <c r="A2468" s="19" t="s">
        <v>5071</v>
      </c>
    </row>
    <row r="2469" spans="1:1" x14ac:dyDescent="0.25">
      <c r="A2469" s="19" t="s">
        <v>5072</v>
      </c>
    </row>
    <row r="2470" spans="1:1" x14ac:dyDescent="0.25">
      <c r="A2470" s="19" t="s">
        <v>5073</v>
      </c>
    </row>
    <row r="2471" spans="1:1" x14ac:dyDescent="0.25">
      <c r="A2471" s="19" t="s">
        <v>5073</v>
      </c>
    </row>
    <row r="2472" spans="1:1" x14ac:dyDescent="0.25">
      <c r="A2472" s="19" t="s">
        <v>5074</v>
      </c>
    </row>
    <row r="2473" spans="1:1" x14ac:dyDescent="0.25">
      <c r="A2473" s="19" t="s">
        <v>5075</v>
      </c>
    </row>
    <row r="2474" spans="1:1" x14ac:dyDescent="0.25">
      <c r="A2474" s="19" t="s">
        <v>5076</v>
      </c>
    </row>
    <row r="2475" spans="1:1" x14ac:dyDescent="0.25">
      <c r="A2475" s="19" t="s">
        <v>5077</v>
      </c>
    </row>
    <row r="2476" spans="1:1" x14ac:dyDescent="0.25">
      <c r="A2476" s="19" t="s">
        <v>5078</v>
      </c>
    </row>
    <row r="2477" spans="1:1" x14ac:dyDescent="0.25">
      <c r="A2477" s="19" t="s">
        <v>5079</v>
      </c>
    </row>
    <row r="2478" spans="1:1" x14ac:dyDescent="0.25">
      <c r="A2478" s="19" t="s">
        <v>5080</v>
      </c>
    </row>
    <row r="2479" spans="1:1" x14ac:dyDescent="0.25">
      <c r="A2479" s="19" t="s">
        <v>5081</v>
      </c>
    </row>
    <row r="2480" spans="1:1" x14ac:dyDescent="0.25">
      <c r="A2480" s="19" t="s">
        <v>5082</v>
      </c>
    </row>
    <row r="2481" spans="1:1" x14ac:dyDescent="0.25">
      <c r="A2481" s="19" t="s">
        <v>5083</v>
      </c>
    </row>
    <row r="2482" spans="1:1" x14ac:dyDescent="0.25">
      <c r="A2482" s="19" t="s">
        <v>5084</v>
      </c>
    </row>
    <row r="2483" spans="1:1" x14ac:dyDescent="0.25">
      <c r="A2483" s="19" t="s">
        <v>5085</v>
      </c>
    </row>
    <row r="2484" spans="1:1" x14ac:dyDescent="0.25">
      <c r="A2484" s="19" t="s">
        <v>5086</v>
      </c>
    </row>
    <row r="2485" spans="1:1" x14ac:dyDescent="0.25">
      <c r="A2485" s="19" t="s">
        <v>5087</v>
      </c>
    </row>
    <row r="2486" spans="1:1" x14ac:dyDescent="0.25">
      <c r="A2486" s="19" t="s">
        <v>5088</v>
      </c>
    </row>
    <row r="2487" spans="1:1" x14ac:dyDescent="0.25">
      <c r="A2487" s="19" t="s">
        <v>5089</v>
      </c>
    </row>
    <row r="2488" spans="1:1" x14ac:dyDescent="0.25">
      <c r="A2488" s="19" t="s">
        <v>5090</v>
      </c>
    </row>
    <row r="2489" spans="1:1" x14ac:dyDescent="0.25">
      <c r="A2489" s="19" t="s">
        <v>5091</v>
      </c>
    </row>
    <row r="2490" spans="1:1" x14ac:dyDescent="0.25">
      <c r="A2490" s="19" t="s">
        <v>5092</v>
      </c>
    </row>
    <row r="2491" spans="1:1" x14ac:dyDescent="0.25">
      <c r="A2491" s="19" t="s">
        <v>5093</v>
      </c>
    </row>
    <row r="2492" spans="1:1" x14ac:dyDescent="0.25">
      <c r="A2492" s="19" t="s">
        <v>5094</v>
      </c>
    </row>
    <row r="2493" spans="1:1" x14ac:dyDescent="0.25">
      <c r="A2493" s="19" t="s">
        <v>5095</v>
      </c>
    </row>
    <row r="2494" spans="1:1" x14ac:dyDescent="0.25">
      <c r="A2494" s="19" t="s">
        <v>5096</v>
      </c>
    </row>
    <row r="2495" spans="1:1" x14ac:dyDescent="0.25">
      <c r="A2495" s="19" t="s">
        <v>5097</v>
      </c>
    </row>
    <row r="2496" spans="1:1" x14ac:dyDescent="0.25">
      <c r="A2496" s="19" t="s">
        <v>5098</v>
      </c>
    </row>
    <row r="2497" spans="1:1" x14ac:dyDescent="0.25">
      <c r="A2497" s="19" t="s">
        <v>5099</v>
      </c>
    </row>
    <row r="2498" spans="1:1" x14ac:dyDescent="0.25">
      <c r="A2498" s="19" t="s">
        <v>5100</v>
      </c>
    </row>
    <row r="2499" spans="1:1" x14ac:dyDescent="0.25">
      <c r="A2499" s="19" t="s">
        <v>5101</v>
      </c>
    </row>
    <row r="2500" spans="1:1" x14ac:dyDescent="0.25">
      <c r="A2500" s="19" t="s">
        <v>5102</v>
      </c>
    </row>
    <row r="2501" spans="1:1" x14ac:dyDescent="0.25">
      <c r="A2501" s="19" t="s">
        <v>5103</v>
      </c>
    </row>
    <row r="2502" spans="1:1" x14ac:dyDescent="0.25">
      <c r="A2502" s="19" t="s">
        <v>5104</v>
      </c>
    </row>
    <row r="2503" spans="1:1" x14ac:dyDescent="0.25">
      <c r="A2503" s="19" t="s">
        <v>5105</v>
      </c>
    </row>
    <row r="2504" spans="1:1" x14ac:dyDescent="0.25">
      <c r="A2504" s="19" t="s">
        <v>5106</v>
      </c>
    </row>
    <row r="2505" spans="1:1" x14ac:dyDescent="0.25">
      <c r="A2505" s="19" t="s">
        <v>5107</v>
      </c>
    </row>
    <row r="2506" spans="1:1" x14ac:dyDescent="0.25">
      <c r="A2506" s="19" t="s">
        <v>5108</v>
      </c>
    </row>
    <row r="2507" spans="1:1" x14ac:dyDescent="0.25">
      <c r="A2507" s="19" t="s">
        <v>5109</v>
      </c>
    </row>
    <row r="2508" spans="1:1" x14ac:dyDescent="0.25">
      <c r="A2508" s="19" t="s">
        <v>5110</v>
      </c>
    </row>
    <row r="2509" spans="1:1" x14ac:dyDescent="0.25">
      <c r="A2509" s="19" t="s">
        <v>5111</v>
      </c>
    </row>
    <row r="2510" spans="1:1" x14ac:dyDescent="0.25">
      <c r="A2510" s="19" t="s">
        <v>5112</v>
      </c>
    </row>
    <row r="2511" spans="1:1" x14ac:dyDescent="0.25">
      <c r="A2511" s="19" t="s">
        <v>5113</v>
      </c>
    </row>
    <row r="2512" spans="1:1" x14ac:dyDescent="0.25">
      <c r="A2512" s="19" t="s">
        <v>5114</v>
      </c>
    </row>
    <row r="2513" spans="1:1" x14ac:dyDescent="0.25">
      <c r="A2513" s="19" t="s">
        <v>5115</v>
      </c>
    </row>
    <row r="2514" spans="1:1" x14ac:dyDescent="0.25">
      <c r="A2514" s="19" t="s">
        <v>5116</v>
      </c>
    </row>
    <row r="2515" spans="1:1" x14ac:dyDescent="0.25">
      <c r="A2515" s="19" t="s">
        <v>5117</v>
      </c>
    </row>
    <row r="2516" spans="1:1" x14ac:dyDescent="0.25">
      <c r="A2516" s="19" t="s">
        <v>5117</v>
      </c>
    </row>
    <row r="2517" spans="1:1" x14ac:dyDescent="0.25">
      <c r="A2517" s="19" t="s">
        <v>5118</v>
      </c>
    </row>
    <row r="2518" spans="1:1" x14ac:dyDescent="0.25">
      <c r="A2518" s="19" t="s">
        <v>5119</v>
      </c>
    </row>
    <row r="2519" spans="1:1" x14ac:dyDescent="0.25">
      <c r="A2519" s="19" t="s">
        <v>5120</v>
      </c>
    </row>
    <row r="2520" spans="1:1" x14ac:dyDescent="0.25">
      <c r="A2520" s="19" t="s">
        <v>5121</v>
      </c>
    </row>
    <row r="2521" spans="1:1" x14ac:dyDescent="0.25">
      <c r="A2521" s="19" t="s">
        <v>5122</v>
      </c>
    </row>
    <row r="2522" spans="1:1" x14ac:dyDescent="0.25">
      <c r="A2522" s="19" t="s">
        <v>5123</v>
      </c>
    </row>
    <row r="2523" spans="1:1" x14ac:dyDescent="0.25">
      <c r="A2523" s="19" t="s">
        <v>5124</v>
      </c>
    </row>
    <row r="2524" spans="1:1" x14ac:dyDescent="0.25">
      <c r="A2524" s="19" t="s">
        <v>5125</v>
      </c>
    </row>
    <row r="2525" spans="1:1" x14ac:dyDescent="0.25">
      <c r="A2525" s="19" t="s">
        <v>5126</v>
      </c>
    </row>
    <row r="2526" spans="1:1" x14ac:dyDescent="0.25">
      <c r="A2526" s="19" t="s">
        <v>5127</v>
      </c>
    </row>
    <row r="2527" spans="1:1" x14ac:dyDescent="0.25">
      <c r="A2527" s="19" t="s">
        <v>5128</v>
      </c>
    </row>
    <row r="2528" spans="1:1" x14ac:dyDescent="0.25">
      <c r="A2528" s="19" t="s">
        <v>5129</v>
      </c>
    </row>
    <row r="2529" spans="1:1" x14ac:dyDescent="0.25">
      <c r="A2529" s="19" t="s">
        <v>5130</v>
      </c>
    </row>
    <row r="2530" spans="1:1" x14ac:dyDescent="0.25">
      <c r="A2530" s="19" t="s">
        <v>5131</v>
      </c>
    </row>
    <row r="2531" spans="1:1" x14ac:dyDescent="0.25">
      <c r="A2531" s="19" t="s">
        <v>5131</v>
      </c>
    </row>
    <row r="2532" spans="1:1" x14ac:dyDescent="0.25">
      <c r="A2532" s="19" t="s">
        <v>5132</v>
      </c>
    </row>
    <row r="2533" spans="1:1" x14ac:dyDescent="0.25">
      <c r="A2533" s="19" t="s">
        <v>5133</v>
      </c>
    </row>
    <row r="2534" spans="1:1" x14ac:dyDescent="0.25">
      <c r="A2534" s="19" t="s">
        <v>5134</v>
      </c>
    </row>
    <row r="2535" spans="1:1" x14ac:dyDescent="0.25">
      <c r="A2535" s="19" t="s">
        <v>5135</v>
      </c>
    </row>
    <row r="2536" spans="1:1" x14ac:dyDescent="0.25">
      <c r="A2536" s="19" t="s">
        <v>5136</v>
      </c>
    </row>
    <row r="2537" spans="1:1" x14ac:dyDescent="0.25">
      <c r="A2537" s="19" t="s">
        <v>5137</v>
      </c>
    </row>
    <row r="2538" spans="1:1" x14ac:dyDescent="0.25">
      <c r="A2538" s="19" t="s">
        <v>5138</v>
      </c>
    </row>
    <row r="2539" spans="1:1" x14ac:dyDescent="0.25">
      <c r="A2539" s="19" t="s">
        <v>5139</v>
      </c>
    </row>
    <row r="2540" spans="1:1" x14ac:dyDescent="0.25">
      <c r="A2540" s="19" t="s">
        <v>5140</v>
      </c>
    </row>
    <row r="2541" spans="1:1" x14ac:dyDescent="0.25">
      <c r="A2541" s="19" t="s">
        <v>5140</v>
      </c>
    </row>
    <row r="2542" spans="1:1" x14ac:dyDescent="0.25">
      <c r="A2542" s="19" t="s">
        <v>5141</v>
      </c>
    </row>
    <row r="2543" spans="1:1" x14ac:dyDescent="0.25">
      <c r="A2543" s="19" t="s">
        <v>5142</v>
      </c>
    </row>
    <row r="2544" spans="1:1" x14ac:dyDescent="0.25">
      <c r="A2544" s="19" t="s">
        <v>5143</v>
      </c>
    </row>
    <row r="2545" spans="1:1" x14ac:dyDescent="0.25">
      <c r="A2545" s="19" t="s">
        <v>5144</v>
      </c>
    </row>
    <row r="2546" spans="1:1" x14ac:dyDescent="0.25">
      <c r="A2546" s="19" t="s">
        <v>5145</v>
      </c>
    </row>
    <row r="2547" spans="1:1" x14ac:dyDescent="0.25">
      <c r="A2547" s="19" t="s">
        <v>5146</v>
      </c>
    </row>
    <row r="2548" spans="1:1" x14ac:dyDescent="0.25">
      <c r="A2548" s="19" t="s">
        <v>5147</v>
      </c>
    </row>
    <row r="2549" spans="1:1" x14ac:dyDescent="0.25">
      <c r="A2549" s="19" t="s">
        <v>5148</v>
      </c>
    </row>
    <row r="2550" spans="1:1" x14ac:dyDescent="0.25">
      <c r="A2550" s="19" t="s">
        <v>5149</v>
      </c>
    </row>
    <row r="2551" spans="1:1" x14ac:dyDescent="0.25">
      <c r="A2551" s="19" t="s">
        <v>5150</v>
      </c>
    </row>
    <row r="2552" spans="1:1" x14ac:dyDescent="0.25">
      <c r="A2552" s="19" t="s">
        <v>5151</v>
      </c>
    </row>
    <row r="2553" spans="1:1" x14ac:dyDescent="0.25">
      <c r="A2553" s="19" t="s">
        <v>5152</v>
      </c>
    </row>
    <row r="2554" spans="1:1" x14ac:dyDescent="0.25">
      <c r="A2554" s="19" t="s">
        <v>5153</v>
      </c>
    </row>
    <row r="2555" spans="1:1" x14ac:dyDescent="0.25">
      <c r="A2555" s="19" t="s">
        <v>5154</v>
      </c>
    </row>
    <row r="2556" spans="1:1" x14ac:dyDescent="0.25">
      <c r="A2556" s="19" t="s">
        <v>5155</v>
      </c>
    </row>
    <row r="2557" spans="1:1" x14ac:dyDescent="0.25">
      <c r="A2557" s="19" t="s">
        <v>5156</v>
      </c>
    </row>
    <row r="2558" spans="1:1" x14ac:dyDescent="0.25">
      <c r="A2558" s="19" t="s">
        <v>5157</v>
      </c>
    </row>
    <row r="2559" spans="1:1" x14ac:dyDescent="0.25">
      <c r="A2559" s="19" t="s">
        <v>5158</v>
      </c>
    </row>
    <row r="2560" spans="1:1" x14ac:dyDescent="0.25">
      <c r="A2560" s="19" t="s">
        <v>5159</v>
      </c>
    </row>
    <row r="2561" spans="1:1" x14ac:dyDescent="0.25">
      <c r="A2561" s="19" t="s">
        <v>5160</v>
      </c>
    </row>
    <row r="2562" spans="1:1" x14ac:dyDescent="0.25">
      <c r="A2562" s="19" t="s">
        <v>5161</v>
      </c>
    </row>
    <row r="2563" spans="1:1" x14ac:dyDescent="0.25">
      <c r="A2563" s="19" t="s">
        <v>5162</v>
      </c>
    </row>
    <row r="2564" spans="1:1" x14ac:dyDescent="0.25">
      <c r="A2564" s="19" t="s">
        <v>5162</v>
      </c>
    </row>
    <row r="2565" spans="1:1" x14ac:dyDescent="0.25">
      <c r="A2565" s="19" t="s">
        <v>5162</v>
      </c>
    </row>
    <row r="2566" spans="1:1" x14ac:dyDescent="0.25">
      <c r="A2566" s="19" t="s">
        <v>5163</v>
      </c>
    </row>
    <row r="2567" spans="1:1" x14ac:dyDescent="0.25">
      <c r="A2567" s="19" t="s">
        <v>5164</v>
      </c>
    </row>
    <row r="2568" spans="1:1" x14ac:dyDescent="0.25">
      <c r="A2568" s="19" t="s">
        <v>5165</v>
      </c>
    </row>
    <row r="2569" spans="1:1" x14ac:dyDescent="0.25">
      <c r="A2569" s="19" t="s">
        <v>5166</v>
      </c>
    </row>
    <row r="2570" spans="1:1" x14ac:dyDescent="0.25">
      <c r="A2570" s="19" t="s">
        <v>5167</v>
      </c>
    </row>
    <row r="2571" spans="1:1" x14ac:dyDescent="0.25">
      <c r="A2571" s="19" t="s">
        <v>5168</v>
      </c>
    </row>
    <row r="2572" spans="1:1" x14ac:dyDescent="0.25">
      <c r="A2572" s="19" t="s">
        <v>5169</v>
      </c>
    </row>
    <row r="2573" spans="1:1" x14ac:dyDescent="0.25">
      <c r="A2573" s="19" t="s">
        <v>5170</v>
      </c>
    </row>
    <row r="2574" spans="1:1" x14ac:dyDescent="0.25">
      <c r="A2574" s="19" t="s">
        <v>5171</v>
      </c>
    </row>
    <row r="2575" spans="1:1" x14ac:dyDescent="0.25">
      <c r="A2575" s="19" t="s">
        <v>5172</v>
      </c>
    </row>
    <row r="2576" spans="1:1" x14ac:dyDescent="0.25">
      <c r="A2576" s="19" t="s">
        <v>5173</v>
      </c>
    </row>
    <row r="2577" spans="1:1" x14ac:dyDescent="0.25">
      <c r="A2577" s="19" t="s">
        <v>5174</v>
      </c>
    </row>
    <row r="2578" spans="1:1" x14ac:dyDescent="0.25">
      <c r="A2578" s="19" t="s">
        <v>5175</v>
      </c>
    </row>
    <row r="2579" spans="1:1" x14ac:dyDescent="0.25">
      <c r="A2579" s="19" t="s">
        <v>5176</v>
      </c>
    </row>
    <row r="2580" spans="1:1" x14ac:dyDescent="0.25">
      <c r="A2580" s="19" t="s">
        <v>5177</v>
      </c>
    </row>
    <row r="2581" spans="1:1" x14ac:dyDescent="0.25">
      <c r="A2581" s="19" t="s">
        <v>5178</v>
      </c>
    </row>
    <row r="2582" spans="1:1" x14ac:dyDescent="0.25">
      <c r="A2582" s="19" t="s">
        <v>5179</v>
      </c>
    </row>
    <row r="2583" spans="1:1" x14ac:dyDescent="0.25">
      <c r="A2583" s="19" t="s">
        <v>5180</v>
      </c>
    </row>
    <row r="2584" spans="1:1" x14ac:dyDescent="0.25">
      <c r="A2584" s="19" t="s">
        <v>5181</v>
      </c>
    </row>
    <row r="2585" spans="1:1" x14ac:dyDescent="0.25">
      <c r="A2585" s="19" t="s">
        <v>5182</v>
      </c>
    </row>
    <row r="2586" spans="1:1" x14ac:dyDescent="0.25">
      <c r="A2586" s="19" t="s">
        <v>5183</v>
      </c>
    </row>
    <row r="2587" spans="1:1" x14ac:dyDescent="0.25">
      <c r="A2587" s="19" t="s">
        <v>5184</v>
      </c>
    </row>
    <row r="2588" spans="1:1" x14ac:dyDescent="0.25">
      <c r="A2588" s="19" t="s">
        <v>5185</v>
      </c>
    </row>
    <row r="2589" spans="1:1" x14ac:dyDescent="0.25">
      <c r="A2589" s="19" t="s">
        <v>5186</v>
      </c>
    </row>
    <row r="2590" spans="1:1" x14ac:dyDescent="0.25">
      <c r="A2590" s="19" t="s">
        <v>5187</v>
      </c>
    </row>
    <row r="2591" spans="1:1" x14ac:dyDescent="0.25">
      <c r="A2591" s="19" t="s">
        <v>5188</v>
      </c>
    </row>
    <row r="2592" spans="1:1" x14ac:dyDescent="0.25">
      <c r="A2592" s="19" t="s">
        <v>5189</v>
      </c>
    </row>
    <row r="2593" spans="1:1" x14ac:dyDescent="0.25">
      <c r="A2593" s="19" t="s">
        <v>5190</v>
      </c>
    </row>
    <row r="2594" spans="1:1" x14ac:dyDescent="0.25">
      <c r="A2594" s="19" t="s">
        <v>5191</v>
      </c>
    </row>
    <row r="2595" spans="1:1" x14ac:dyDescent="0.25">
      <c r="A2595" s="19" t="s">
        <v>5192</v>
      </c>
    </row>
    <row r="2596" spans="1:1" x14ac:dyDescent="0.25">
      <c r="A2596" s="19" t="s">
        <v>5193</v>
      </c>
    </row>
    <row r="2597" spans="1:1" x14ac:dyDescent="0.25">
      <c r="A2597" s="19" t="s">
        <v>5193</v>
      </c>
    </row>
    <row r="2598" spans="1:1" x14ac:dyDescent="0.25">
      <c r="A2598" s="19" t="s">
        <v>5194</v>
      </c>
    </row>
    <row r="2599" spans="1:1" x14ac:dyDescent="0.25">
      <c r="A2599" s="19" t="s">
        <v>5195</v>
      </c>
    </row>
    <row r="2600" spans="1:1" x14ac:dyDescent="0.25">
      <c r="A2600" s="19" t="s">
        <v>5196</v>
      </c>
    </row>
    <row r="2601" spans="1:1" x14ac:dyDescent="0.25">
      <c r="A2601" s="19" t="s">
        <v>5197</v>
      </c>
    </row>
    <row r="2602" spans="1:1" x14ac:dyDescent="0.25">
      <c r="A2602" s="19" t="s">
        <v>5198</v>
      </c>
    </row>
    <row r="2603" spans="1:1" x14ac:dyDescent="0.25">
      <c r="A2603" s="19" t="s">
        <v>5199</v>
      </c>
    </row>
    <row r="2604" spans="1:1" x14ac:dyDescent="0.25">
      <c r="A2604" s="19" t="s">
        <v>5200</v>
      </c>
    </row>
    <row r="2605" spans="1:1" x14ac:dyDescent="0.25">
      <c r="A2605" s="19" t="s">
        <v>5201</v>
      </c>
    </row>
    <row r="2606" spans="1:1" x14ac:dyDescent="0.25">
      <c r="A2606" s="19" t="s">
        <v>5202</v>
      </c>
    </row>
    <row r="2607" spans="1:1" x14ac:dyDescent="0.25">
      <c r="A2607" s="19" t="s">
        <v>5203</v>
      </c>
    </row>
    <row r="2608" spans="1:1" x14ac:dyDescent="0.25">
      <c r="A2608" s="19" t="s">
        <v>5204</v>
      </c>
    </row>
    <row r="2609" spans="1:1" x14ac:dyDescent="0.25">
      <c r="A2609" s="19" t="s">
        <v>5205</v>
      </c>
    </row>
    <row r="2610" spans="1:1" x14ac:dyDescent="0.25">
      <c r="A2610" s="19" t="s">
        <v>5206</v>
      </c>
    </row>
    <row r="2611" spans="1:1" x14ac:dyDescent="0.25">
      <c r="A2611" s="19" t="s">
        <v>5207</v>
      </c>
    </row>
    <row r="2612" spans="1:1" x14ac:dyDescent="0.25">
      <c r="A2612" s="19" t="s">
        <v>5208</v>
      </c>
    </row>
    <row r="2613" spans="1:1" x14ac:dyDescent="0.25">
      <c r="A2613" s="19" t="s">
        <v>5209</v>
      </c>
    </row>
    <row r="2614" spans="1:1" x14ac:dyDescent="0.25">
      <c r="A2614" s="19" t="s">
        <v>5210</v>
      </c>
    </row>
    <row r="2615" spans="1:1" x14ac:dyDescent="0.25">
      <c r="A2615" s="19" t="s">
        <v>5211</v>
      </c>
    </row>
    <row r="2616" spans="1:1" x14ac:dyDescent="0.25">
      <c r="A2616" s="19" t="s">
        <v>5212</v>
      </c>
    </row>
    <row r="2617" spans="1:1" x14ac:dyDescent="0.25">
      <c r="A2617" s="19" t="s">
        <v>5213</v>
      </c>
    </row>
    <row r="2618" spans="1:1" x14ac:dyDescent="0.25">
      <c r="A2618" s="19" t="s">
        <v>5214</v>
      </c>
    </row>
    <row r="2619" spans="1:1" x14ac:dyDescent="0.25">
      <c r="A2619" s="19" t="s">
        <v>5215</v>
      </c>
    </row>
    <row r="2620" spans="1:1" x14ac:dyDescent="0.25">
      <c r="A2620" s="19" t="s">
        <v>5216</v>
      </c>
    </row>
    <row r="2621" spans="1:1" x14ac:dyDescent="0.25">
      <c r="A2621" s="19" t="s">
        <v>5217</v>
      </c>
    </row>
    <row r="2622" spans="1:1" x14ac:dyDescent="0.25">
      <c r="A2622" s="19" t="s">
        <v>5218</v>
      </c>
    </row>
    <row r="2623" spans="1:1" x14ac:dyDescent="0.25">
      <c r="A2623" s="19" t="s">
        <v>5219</v>
      </c>
    </row>
    <row r="2624" spans="1:1" x14ac:dyDescent="0.25">
      <c r="A2624" s="19" t="s">
        <v>5220</v>
      </c>
    </row>
    <row r="2625" spans="1:1" x14ac:dyDescent="0.25">
      <c r="A2625" s="19" t="s">
        <v>5221</v>
      </c>
    </row>
    <row r="2626" spans="1:1" x14ac:dyDescent="0.25">
      <c r="A2626" s="19" t="s">
        <v>5222</v>
      </c>
    </row>
    <row r="2627" spans="1:1" x14ac:dyDescent="0.25">
      <c r="A2627" s="19" t="s">
        <v>5223</v>
      </c>
    </row>
    <row r="2628" spans="1:1" x14ac:dyDescent="0.25">
      <c r="A2628" s="19" t="s">
        <v>5224</v>
      </c>
    </row>
    <row r="2629" spans="1:1" x14ac:dyDescent="0.25">
      <c r="A2629" s="19" t="s">
        <v>5225</v>
      </c>
    </row>
    <row r="2630" spans="1:1" x14ac:dyDescent="0.25">
      <c r="A2630" s="19" t="s">
        <v>5226</v>
      </c>
    </row>
    <row r="2631" spans="1:1" x14ac:dyDescent="0.25">
      <c r="A2631" s="19" t="s">
        <v>5227</v>
      </c>
    </row>
    <row r="2632" spans="1:1" x14ac:dyDescent="0.25">
      <c r="A2632" s="19" t="s">
        <v>5228</v>
      </c>
    </row>
    <row r="2633" spans="1:1" x14ac:dyDescent="0.25">
      <c r="A2633" s="19" t="s">
        <v>5229</v>
      </c>
    </row>
    <row r="2634" spans="1:1" x14ac:dyDescent="0.25">
      <c r="A2634" s="19" t="s">
        <v>5230</v>
      </c>
    </row>
    <row r="2635" spans="1:1" x14ac:dyDescent="0.25">
      <c r="A2635" s="19" t="s">
        <v>5231</v>
      </c>
    </row>
    <row r="2636" spans="1:1" x14ac:dyDescent="0.25">
      <c r="A2636" s="19" t="s">
        <v>5232</v>
      </c>
    </row>
    <row r="2637" spans="1:1" x14ac:dyDescent="0.25">
      <c r="A2637" s="19" t="s">
        <v>5233</v>
      </c>
    </row>
    <row r="2638" spans="1:1" x14ac:dyDescent="0.25">
      <c r="A2638" s="19" t="s">
        <v>5234</v>
      </c>
    </row>
    <row r="2639" spans="1:1" x14ac:dyDescent="0.25">
      <c r="A2639" s="19" t="s">
        <v>5235</v>
      </c>
    </row>
    <row r="2640" spans="1:1" x14ac:dyDescent="0.25">
      <c r="A2640" s="19" t="s">
        <v>5236</v>
      </c>
    </row>
    <row r="2641" spans="1:1" x14ac:dyDescent="0.25">
      <c r="A2641" s="19" t="s">
        <v>5237</v>
      </c>
    </row>
    <row r="2642" spans="1:1" x14ac:dyDescent="0.25">
      <c r="A2642" s="19" t="s">
        <v>5238</v>
      </c>
    </row>
    <row r="2643" spans="1:1" x14ac:dyDescent="0.25">
      <c r="A2643" s="19" t="s">
        <v>5239</v>
      </c>
    </row>
    <row r="2644" spans="1:1" x14ac:dyDescent="0.25">
      <c r="A2644" s="19" t="s">
        <v>5240</v>
      </c>
    </row>
    <row r="2645" spans="1:1" x14ac:dyDescent="0.25">
      <c r="A2645" s="19" t="s">
        <v>5241</v>
      </c>
    </row>
    <row r="2646" spans="1:1" x14ac:dyDescent="0.25">
      <c r="A2646" s="19" t="s">
        <v>5242</v>
      </c>
    </row>
    <row r="2647" spans="1:1" x14ac:dyDescent="0.25">
      <c r="A2647" s="19" t="s">
        <v>5243</v>
      </c>
    </row>
    <row r="2648" spans="1:1" x14ac:dyDescent="0.25">
      <c r="A2648" s="19" t="s">
        <v>5244</v>
      </c>
    </row>
    <row r="2649" spans="1:1" x14ac:dyDescent="0.25">
      <c r="A2649" s="19" t="s">
        <v>5245</v>
      </c>
    </row>
    <row r="2650" spans="1:1" x14ac:dyDescent="0.25">
      <c r="A2650" s="19" t="s">
        <v>5246</v>
      </c>
    </row>
    <row r="2651" spans="1:1" x14ac:dyDescent="0.25">
      <c r="A2651" s="19" t="s">
        <v>5247</v>
      </c>
    </row>
    <row r="2652" spans="1:1" x14ac:dyDescent="0.25">
      <c r="A2652" s="19" t="s">
        <v>5248</v>
      </c>
    </row>
    <row r="2653" spans="1:1" x14ac:dyDescent="0.25">
      <c r="A2653" s="19" t="s">
        <v>5249</v>
      </c>
    </row>
    <row r="2654" spans="1:1" x14ac:dyDescent="0.25">
      <c r="A2654" s="19" t="s">
        <v>5250</v>
      </c>
    </row>
    <row r="2655" spans="1:1" x14ac:dyDescent="0.25">
      <c r="A2655" s="19" t="s">
        <v>5251</v>
      </c>
    </row>
    <row r="2656" spans="1:1" x14ac:dyDescent="0.25">
      <c r="A2656" s="19" t="s">
        <v>5252</v>
      </c>
    </row>
    <row r="2657" spans="1:1" x14ac:dyDescent="0.25">
      <c r="A2657" s="19" t="s">
        <v>5253</v>
      </c>
    </row>
    <row r="2658" spans="1:1" x14ac:dyDescent="0.25">
      <c r="A2658" s="19" t="s">
        <v>5254</v>
      </c>
    </row>
    <row r="2659" spans="1:1" x14ac:dyDescent="0.25">
      <c r="A2659" s="19" t="s">
        <v>5255</v>
      </c>
    </row>
    <row r="2660" spans="1:1" x14ac:dyDescent="0.25">
      <c r="A2660" s="19" t="s">
        <v>5256</v>
      </c>
    </row>
    <row r="2661" spans="1:1" x14ac:dyDescent="0.25">
      <c r="A2661" s="19" t="s">
        <v>5257</v>
      </c>
    </row>
    <row r="2662" spans="1:1" x14ac:dyDescent="0.25">
      <c r="A2662" s="19" t="s">
        <v>5258</v>
      </c>
    </row>
    <row r="2663" spans="1:1" x14ac:dyDescent="0.25">
      <c r="A2663" s="19" t="s">
        <v>5259</v>
      </c>
    </row>
    <row r="2664" spans="1:1" x14ac:dyDescent="0.25">
      <c r="A2664" s="19" t="s">
        <v>5260</v>
      </c>
    </row>
    <row r="2665" spans="1:1" x14ac:dyDescent="0.25">
      <c r="A2665" s="19" t="s">
        <v>5261</v>
      </c>
    </row>
    <row r="2666" spans="1:1" x14ac:dyDescent="0.25">
      <c r="A2666" s="19" t="s">
        <v>5262</v>
      </c>
    </row>
    <row r="2667" spans="1:1" x14ac:dyDescent="0.25">
      <c r="A2667" s="19" t="s">
        <v>5263</v>
      </c>
    </row>
    <row r="2668" spans="1:1" x14ac:dyDescent="0.25">
      <c r="A2668" s="19" t="s">
        <v>5264</v>
      </c>
    </row>
    <row r="2669" spans="1:1" x14ac:dyDescent="0.25">
      <c r="A2669" s="19" t="s">
        <v>5265</v>
      </c>
    </row>
    <row r="2670" spans="1:1" x14ac:dyDescent="0.25">
      <c r="A2670" s="19" t="s">
        <v>5266</v>
      </c>
    </row>
    <row r="2671" spans="1:1" x14ac:dyDescent="0.25">
      <c r="A2671" s="19" t="s">
        <v>5267</v>
      </c>
    </row>
    <row r="2672" spans="1:1" x14ac:dyDescent="0.25">
      <c r="A2672" s="19" t="s">
        <v>5268</v>
      </c>
    </row>
    <row r="2673" spans="1:1" x14ac:dyDescent="0.25">
      <c r="A2673" s="19" t="s">
        <v>5269</v>
      </c>
    </row>
    <row r="2674" spans="1:1" x14ac:dyDescent="0.25">
      <c r="A2674" s="19" t="s">
        <v>5270</v>
      </c>
    </row>
    <row r="2675" spans="1:1" x14ac:dyDescent="0.25">
      <c r="A2675" s="19" t="s">
        <v>5271</v>
      </c>
    </row>
    <row r="2676" spans="1:1" x14ac:dyDescent="0.25">
      <c r="A2676" s="19" t="s">
        <v>5272</v>
      </c>
    </row>
    <row r="2677" spans="1:1" x14ac:dyDescent="0.25">
      <c r="A2677" s="19" t="s">
        <v>5273</v>
      </c>
    </row>
    <row r="2678" spans="1:1" x14ac:dyDescent="0.25">
      <c r="A2678" s="19" t="s">
        <v>5274</v>
      </c>
    </row>
    <row r="2679" spans="1:1" x14ac:dyDescent="0.25">
      <c r="A2679" s="19" t="s">
        <v>5275</v>
      </c>
    </row>
    <row r="2680" spans="1:1" x14ac:dyDescent="0.25">
      <c r="A2680" s="19" t="s">
        <v>5276</v>
      </c>
    </row>
    <row r="2681" spans="1:1" x14ac:dyDescent="0.25">
      <c r="A2681" s="19" t="s">
        <v>5277</v>
      </c>
    </row>
    <row r="2682" spans="1:1" x14ac:dyDescent="0.25">
      <c r="A2682" s="19" t="s">
        <v>5278</v>
      </c>
    </row>
    <row r="2683" spans="1:1" x14ac:dyDescent="0.25">
      <c r="A2683" s="19" t="s">
        <v>5279</v>
      </c>
    </row>
    <row r="2684" spans="1:1" x14ac:dyDescent="0.25">
      <c r="A2684" s="19" t="s">
        <v>5280</v>
      </c>
    </row>
    <row r="2685" spans="1:1" x14ac:dyDescent="0.25">
      <c r="A2685" s="19" t="s">
        <v>5281</v>
      </c>
    </row>
    <row r="2686" spans="1:1" x14ac:dyDescent="0.25">
      <c r="A2686" s="19" t="s">
        <v>5282</v>
      </c>
    </row>
    <row r="2687" spans="1:1" x14ac:dyDescent="0.25">
      <c r="A2687" s="19" t="s">
        <v>5283</v>
      </c>
    </row>
    <row r="2688" spans="1:1" x14ac:dyDescent="0.25">
      <c r="A2688" s="19" t="s">
        <v>5284</v>
      </c>
    </row>
    <row r="2689" spans="1:1" x14ac:dyDescent="0.25">
      <c r="A2689" s="19" t="s">
        <v>5285</v>
      </c>
    </row>
    <row r="2690" spans="1:1" x14ac:dyDescent="0.25">
      <c r="A2690" s="19" t="s">
        <v>5286</v>
      </c>
    </row>
    <row r="2691" spans="1:1" x14ac:dyDescent="0.25">
      <c r="A2691" s="19" t="s">
        <v>5287</v>
      </c>
    </row>
    <row r="2692" spans="1:1" x14ac:dyDescent="0.25">
      <c r="A2692" s="19" t="s">
        <v>5288</v>
      </c>
    </row>
    <row r="2693" spans="1:1" x14ac:dyDescent="0.25">
      <c r="A2693" s="19" t="s">
        <v>5289</v>
      </c>
    </row>
    <row r="2694" spans="1:1" x14ac:dyDescent="0.25">
      <c r="A2694" s="19" t="s">
        <v>5290</v>
      </c>
    </row>
    <row r="2695" spans="1:1" x14ac:dyDescent="0.25">
      <c r="A2695" s="19" t="s">
        <v>5291</v>
      </c>
    </row>
    <row r="2696" spans="1:1" x14ac:dyDescent="0.25">
      <c r="A2696" s="19" t="s">
        <v>5292</v>
      </c>
    </row>
    <row r="2697" spans="1:1" x14ac:dyDescent="0.25">
      <c r="A2697" s="19" t="s">
        <v>5293</v>
      </c>
    </row>
    <row r="2698" spans="1:1" x14ac:dyDescent="0.25">
      <c r="A2698" s="19" t="s">
        <v>5294</v>
      </c>
    </row>
    <row r="2699" spans="1:1" x14ac:dyDescent="0.25">
      <c r="A2699" s="19" t="s">
        <v>5295</v>
      </c>
    </row>
    <row r="2700" spans="1:1" x14ac:dyDescent="0.25">
      <c r="A2700" s="19" t="s">
        <v>5296</v>
      </c>
    </row>
    <row r="2701" spans="1:1" x14ac:dyDescent="0.25">
      <c r="A2701" s="19" t="s">
        <v>5297</v>
      </c>
    </row>
    <row r="2702" spans="1:1" x14ac:dyDescent="0.25">
      <c r="A2702" s="19" t="s">
        <v>5298</v>
      </c>
    </row>
    <row r="2703" spans="1:1" x14ac:dyDescent="0.25">
      <c r="A2703" s="19" t="s">
        <v>5299</v>
      </c>
    </row>
    <row r="2704" spans="1:1" x14ac:dyDescent="0.25">
      <c r="A2704" s="19" t="s">
        <v>5300</v>
      </c>
    </row>
    <row r="2705" spans="1:1" x14ac:dyDescent="0.25">
      <c r="A2705" s="19" t="s">
        <v>5301</v>
      </c>
    </row>
    <row r="2706" spans="1:1" x14ac:dyDescent="0.25">
      <c r="A2706" s="19" t="s">
        <v>5302</v>
      </c>
    </row>
    <row r="2707" spans="1:1" x14ac:dyDescent="0.25">
      <c r="A2707" s="19" t="s">
        <v>5303</v>
      </c>
    </row>
    <row r="2708" spans="1:1" x14ac:dyDescent="0.25">
      <c r="A2708" s="19" t="s">
        <v>5304</v>
      </c>
    </row>
    <row r="2709" spans="1:1" x14ac:dyDescent="0.25">
      <c r="A2709" s="19" t="s">
        <v>5305</v>
      </c>
    </row>
    <row r="2710" spans="1:1" x14ac:dyDescent="0.25">
      <c r="A2710" s="19" t="s">
        <v>5306</v>
      </c>
    </row>
    <row r="2711" spans="1:1" x14ac:dyDescent="0.25">
      <c r="A2711" s="19" t="s">
        <v>5307</v>
      </c>
    </row>
    <row r="2712" spans="1:1" x14ac:dyDescent="0.25">
      <c r="A2712" s="19" t="s">
        <v>5308</v>
      </c>
    </row>
    <row r="2713" spans="1:1" x14ac:dyDescent="0.25">
      <c r="A2713" s="19" t="s">
        <v>5309</v>
      </c>
    </row>
    <row r="2714" spans="1:1" x14ac:dyDescent="0.25">
      <c r="A2714" s="19" t="s">
        <v>5310</v>
      </c>
    </row>
    <row r="2715" spans="1:1" x14ac:dyDescent="0.25">
      <c r="A2715" s="19" t="s">
        <v>5311</v>
      </c>
    </row>
    <row r="2716" spans="1:1" x14ac:dyDescent="0.25">
      <c r="A2716" s="19" t="s">
        <v>5312</v>
      </c>
    </row>
    <row r="2717" spans="1:1" x14ac:dyDescent="0.25">
      <c r="A2717" s="19" t="s">
        <v>5312</v>
      </c>
    </row>
    <row r="2718" spans="1:1" x14ac:dyDescent="0.25">
      <c r="A2718" s="19" t="s">
        <v>5313</v>
      </c>
    </row>
    <row r="2719" spans="1:1" x14ac:dyDescent="0.25">
      <c r="A2719" s="19" t="s">
        <v>5314</v>
      </c>
    </row>
    <row r="2720" spans="1:1" x14ac:dyDescent="0.25">
      <c r="A2720" s="19" t="s">
        <v>5315</v>
      </c>
    </row>
    <row r="2721" spans="1:1" x14ac:dyDescent="0.25">
      <c r="A2721" s="19" t="s">
        <v>5316</v>
      </c>
    </row>
    <row r="2722" spans="1:1" x14ac:dyDescent="0.25">
      <c r="A2722" s="19" t="s">
        <v>5317</v>
      </c>
    </row>
    <row r="2723" spans="1:1" x14ac:dyDescent="0.25">
      <c r="A2723" s="19" t="s">
        <v>5318</v>
      </c>
    </row>
    <row r="2724" spans="1:1" x14ac:dyDescent="0.25">
      <c r="A2724" s="19" t="s">
        <v>5319</v>
      </c>
    </row>
    <row r="2725" spans="1:1" x14ac:dyDescent="0.25">
      <c r="A2725" s="19" t="s">
        <v>5320</v>
      </c>
    </row>
    <row r="2726" spans="1:1" x14ac:dyDescent="0.25">
      <c r="A2726" s="19" t="s">
        <v>5321</v>
      </c>
    </row>
    <row r="2727" spans="1:1" x14ac:dyDescent="0.25">
      <c r="A2727" s="19" t="s">
        <v>5322</v>
      </c>
    </row>
    <row r="2728" spans="1:1" x14ac:dyDescent="0.25">
      <c r="A2728" s="19" t="s">
        <v>5323</v>
      </c>
    </row>
    <row r="2729" spans="1:1" x14ac:dyDescent="0.25">
      <c r="A2729" s="19" t="s">
        <v>5324</v>
      </c>
    </row>
    <row r="2730" spans="1:1" x14ac:dyDescent="0.25">
      <c r="A2730" s="19" t="s">
        <v>5325</v>
      </c>
    </row>
    <row r="2731" spans="1:1" x14ac:dyDescent="0.25">
      <c r="A2731" s="19" t="s">
        <v>5326</v>
      </c>
    </row>
    <row r="2732" spans="1:1" x14ac:dyDescent="0.25">
      <c r="A2732" s="19" t="s">
        <v>5327</v>
      </c>
    </row>
    <row r="2733" spans="1:1" x14ac:dyDescent="0.25">
      <c r="A2733" s="19" t="s">
        <v>5328</v>
      </c>
    </row>
    <row r="2734" spans="1:1" x14ac:dyDescent="0.25">
      <c r="A2734" s="19" t="s">
        <v>5329</v>
      </c>
    </row>
    <row r="2735" spans="1:1" x14ac:dyDescent="0.25">
      <c r="A2735" s="19" t="s">
        <v>5330</v>
      </c>
    </row>
    <row r="2736" spans="1:1" x14ac:dyDescent="0.25">
      <c r="A2736" s="19" t="s">
        <v>5331</v>
      </c>
    </row>
    <row r="2737" spans="1:1" x14ac:dyDescent="0.25">
      <c r="A2737" s="19" t="s">
        <v>5332</v>
      </c>
    </row>
    <row r="2738" spans="1:1" x14ac:dyDescent="0.25">
      <c r="A2738" s="19" t="s">
        <v>5333</v>
      </c>
    </row>
    <row r="2739" spans="1:1" x14ac:dyDescent="0.25">
      <c r="A2739" s="19" t="s">
        <v>5334</v>
      </c>
    </row>
    <row r="2740" spans="1:1" x14ac:dyDescent="0.25">
      <c r="A2740" s="19" t="s">
        <v>5335</v>
      </c>
    </row>
    <row r="2741" spans="1:1" x14ac:dyDescent="0.25">
      <c r="A2741" s="19" t="s">
        <v>5336</v>
      </c>
    </row>
    <row r="2742" spans="1:1" x14ac:dyDescent="0.25">
      <c r="A2742" s="19" t="s">
        <v>5337</v>
      </c>
    </row>
    <row r="2743" spans="1:1" x14ac:dyDescent="0.25">
      <c r="A2743" s="19" t="s">
        <v>5338</v>
      </c>
    </row>
    <row r="2744" spans="1:1" x14ac:dyDescent="0.25">
      <c r="A2744" s="19" t="s">
        <v>5339</v>
      </c>
    </row>
    <row r="2745" spans="1:1" x14ac:dyDescent="0.25">
      <c r="A2745" s="19" t="s">
        <v>5340</v>
      </c>
    </row>
    <row r="2746" spans="1:1" x14ac:dyDescent="0.25">
      <c r="A2746" s="19" t="s">
        <v>5341</v>
      </c>
    </row>
    <row r="2747" spans="1:1" x14ac:dyDescent="0.25">
      <c r="A2747" s="19" t="s">
        <v>5342</v>
      </c>
    </row>
    <row r="2748" spans="1:1" x14ac:dyDescent="0.25">
      <c r="A2748" s="19" t="s">
        <v>5343</v>
      </c>
    </row>
    <row r="2749" spans="1:1" x14ac:dyDescent="0.25">
      <c r="A2749" s="19" t="s">
        <v>5344</v>
      </c>
    </row>
    <row r="2750" spans="1:1" x14ac:dyDescent="0.25">
      <c r="A2750" s="19" t="s">
        <v>5345</v>
      </c>
    </row>
    <row r="2751" spans="1:1" x14ac:dyDescent="0.25">
      <c r="A2751" s="19" t="s">
        <v>5346</v>
      </c>
    </row>
    <row r="2752" spans="1:1" x14ac:dyDescent="0.25">
      <c r="A2752" s="19" t="s">
        <v>5347</v>
      </c>
    </row>
    <row r="2753" spans="1:1" x14ac:dyDescent="0.25">
      <c r="A2753" s="19" t="s">
        <v>5348</v>
      </c>
    </row>
    <row r="2754" spans="1:1" x14ac:dyDescent="0.25">
      <c r="A2754" s="19" t="s">
        <v>5349</v>
      </c>
    </row>
    <row r="2755" spans="1:1" x14ac:dyDescent="0.25">
      <c r="A2755" s="19" t="s">
        <v>5350</v>
      </c>
    </row>
    <row r="2756" spans="1:1" x14ac:dyDescent="0.25">
      <c r="A2756" s="19" t="s">
        <v>5351</v>
      </c>
    </row>
    <row r="2757" spans="1:1" x14ac:dyDescent="0.25">
      <c r="A2757" s="19" t="s">
        <v>5352</v>
      </c>
    </row>
    <row r="2758" spans="1:1" x14ac:dyDescent="0.25">
      <c r="A2758" s="19" t="s">
        <v>5353</v>
      </c>
    </row>
    <row r="2759" spans="1:1" x14ac:dyDescent="0.25">
      <c r="A2759" s="19" t="s">
        <v>5354</v>
      </c>
    </row>
    <row r="2760" spans="1:1" x14ac:dyDescent="0.25">
      <c r="A2760" s="19" t="s">
        <v>5355</v>
      </c>
    </row>
    <row r="2761" spans="1:1" x14ac:dyDescent="0.25">
      <c r="A2761" s="19" t="s">
        <v>5356</v>
      </c>
    </row>
    <row r="2762" spans="1:1" x14ac:dyDescent="0.25">
      <c r="A2762" s="19" t="s">
        <v>5357</v>
      </c>
    </row>
    <row r="2763" spans="1:1" x14ac:dyDescent="0.25">
      <c r="A2763" s="19" t="s">
        <v>5358</v>
      </c>
    </row>
    <row r="2764" spans="1:1" x14ac:dyDescent="0.25">
      <c r="A2764" s="19" t="s">
        <v>5359</v>
      </c>
    </row>
    <row r="2765" spans="1:1" x14ac:dyDescent="0.25">
      <c r="A2765" s="19" t="s">
        <v>5360</v>
      </c>
    </row>
    <row r="2766" spans="1:1" x14ac:dyDescent="0.25">
      <c r="A2766" s="19" t="s">
        <v>5361</v>
      </c>
    </row>
    <row r="2767" spans="1:1" x14ac:dyDescent="0.25">
      <c r="A2767" s="19" t="s">
        <v>5362</v>
      </c>
    </row>
    <row r="2768" spans="1:1" x14ac:dyDescent="0.25">
      <c r="A2768" s="19" t="s">
        <v>5363</v>
      </c>
    </row>
    <row r="2769" spans="1:1" x14ac:dyDescent="0.25">
      <c r="A2769" s="19" t="s">
        <v>5364</v>
      </c>
    </row>
    <row r="2770" spans="1:1" x14ac:dyDescent="0.25">
      <c r="A2770" s="19" t="s">
        <v>5365</v>
      </c>
    </row>
    <row r="2771" spans="1:1" x14ac:dyDescent="0.25">
      <c r="A2771" s="19" t="s">
        <v>5366</v>
      </c>
    </row>
    <row r="2772" spans="1:1" x14ac:dyDescent="0.25">
      <c r="A2772" s="19" t="s">
        <v>5367</v>
      </c>
    </row>
    <row r="2773" spans="1:1" x14ac:dyDescent="0.25">
      <c r="A2773" s="19" t="s">
        <v>5368</v>
      </c>
    </row>
    <row r="2774" spans="1:1" x14ac:dyDescent="0.25">
      <c r="A2774" s="19" t="s">
        <v>5369</v>
      </c>
    </row>
    <row r="2775" spans="1:1" x14ac:dyDescent="0.25">
      <c r="A2775" s="19" t="s">
        <v>5370</v>
      </c>
    </row>
    <row r="2776" spans="1:1" x14ac:dyDescent="0.25">
      <c r="A2776" s="19" t="s">
        <v>5371</v>
      </c>
    </row>
    <row r="2777" spans="1:1" x14ac:dyDescent="0.25">
      <c r="A2777" s="19" t="s">
        <v>5372</v>
      </c>
    </row>
    <row r="2778" spans="1:1" x14ac:dyDescent="0.25">
      <c r="A2778" s="19" t="s">
        <v>5373</v>
      </c>
    </row>
    <row r="2779" spans="1:1" x14ac:dyDescent="0.25">
      <c r="A2779" s="19" t="s">
        <v>5374</v>
      </c>
    </row>
    <row r="2780" spans="1:1" x14ac:dyDescent="0.25">
      <c r="A2780" s="19" t="s">
        <v>5375</v>
      </c>
    </row>
    <row r="2781" spans="1:1" x14ac:dyDescent="0.25">
      <c r="A2781" s="19" t="s">
        <v>5376</v>
      </c>
    </row>
    <row r="2782" spans="1:1" x14ac:dyDescent="0.25">
      <c r="A2782" s="19" t="s">
        <v>5377</v>
      </c>
    </row>
    <row r="2783" spans="1:1" x14ac:dyDescent="0.25">
      <c r="A2783" s="19" t="s">
        <v>5378</v>
      </c>
    </row>
    <row r="2784" spans="1:1" x14ac:dyDescent="0.25">
      <c r="A2784" s="19" t="s">
        <v>5379</v>
      </c>
    </row>
    <row r="2785" spans="1:1" x14ac:dyDescent="0.25">
      <c r="A2785" s="19" t="s">
        <v>5380</v>
      </c>
    </row>
    <row r="2786" spans="1:1" x14ac:dyDescent="0.25">
      <c r="A2786" s="19" t="s">
        <v>5381</v>
      </c>
    </row>
    <row r="2787" spans="1:1" x14ac:dyDescent="0.25">
      <c r="A2787" s="19" t="s">
        <v>5382</v>
      </c>
    </row>
    <row r="2788" spans="1:1" x14ac:dyDescent="0.25">
      <c r="A2788" s="19" t="s">
        <v>5383</v>
      </c>
    </row>
    <row r="2789" spans="1:1" x14ac:dyDescent="0.25">
      <c r="A2789" s="19" t="s">
        <v>5384</v>
      </c>
    </row>
    <row r="2790" spans="1:1" x14ac:dyDescent="0.25">
      <c r="A2790" s="19" t="s">
        <v>5385</v>
      </c>
    </row>
    <row r="2791" spans="1:1" x14ac:dyDescent="0.25">
      <c r="A2791" s="19" t="s">
        <v>5386</v>
      </c>
    </row>
    <row r="2792" spans="1:1" x14ac:dyDescent="0.25">
      <c r="A2792" s="19" t="s">
        <v>5387</v>
      </c>
    </row>
    <row r="2793" spans="1:1" x14ac:dyDescent="0.25">
      <c r="A2793" s="19" t="s">
        <v>5388</v>
      </c>
    </row>
    <row r="2794" spans="1:1" x14ac:dyDescent="0.25">
      <c r="A2794" s="19" t="s">
        <v>5389</v>
      </c>
    </row>
    <row r="2795" spans="1:1" x14ac:dyDescent="0.25">
      <c r="A2795" s="19" t="s">
        <v>5390</v>
      </c>
    </row>
    <row r="2796" spans="1:1" x14ac:dyDescent="0.25">
      <c r="A2796" s="19" t="s">
        <v>5391</v>
      </c>
    </row>
    <row r="2797" spans="1:1" x14ac:dyDescent="0.25">
      <c r="A2797" s="19" t="s">
        <v>5392</v>
      </c>
    </row>
    <row r="2798" spans="1:1" x14ac:dyDescent="0.25">
      <c r="A2798" s="19" t="s">
        <v>5393</v>
      </c>
    </row>
    <row r="2799" spans="1:1" x14ac:dyDescent="0.25">
      <c r="A2799" s="19" t="s">
        <v>5394</v>
      </c>
    </row>
    <row r="2800" spans="1:1" x14ac:dyDescent="0.25">
      <c r="A2800" s="19" t="s">
        <v>5395</v>
      </c>
    </row>
    <row r="2801" spans="1:1" x14ac:dyDescent="0.25">
      <c r="A2801" s="19" t="s">
        <v>5396</v>
      </c>
    </row>
    <row r="2802" spans="1:1" x14ac:dyDescent="0.25">
      <c r="A2802" s="19" t="s">
        <v>5397</v>
      </c>
    </row>
    <row r="2803" spans="1:1" x14ac:dyDescent="0.25">
      <c r="A2803" s="19" t="s">
        <v>5398</v>
      </c>
    </row>
    <row r="2804" spans="1:1" x14ac:dyDescent="0.25">
      <c r="A2804" s="19" t="s">
        <v>5399</v>
      </c>
    </row>
    <row r="2805" spans="1:1" x14ac:dyDescent="0.25">
      <c r="A2805" s="19" t="s">
        <v>5400</v>
      </c>
    </row>
    <row r="2806" spans="1:1" x14ac:dyDescent="0.25">
      <c r="A2806" s="19" t="s">
        <v>5401</v>
      </c>
    </row>
    <row r="2807" spans="1:1" x14ac:dyDescent="0.25">
      <c r="A2807" s="19" t="s">
        <v>5402</v>
      </c>
    </row>
    <row r="2808" spans="1:1" x14ac:dyDescent="0.25">
      <c r="A2808" s="19" t="s">
        <v>5403</v>
      </c>
    </row>
    <row r="2809" spans="1:1" x14ac:dyDescent="0.25">
      <c r="A2809" s="19" t="s">
        <v>5404</v>
      </c>
    </row>
    <row r="2810" spans="1:1" x14ac:dyDescent="0.25">
      <c r="A2810" s="19" t="s">
        <v>5405</v>
      </c>
    </row>
    <row r="2811" spans="1:1" x14ac:dyDescent="0.25">
      <c r="A2811" s="19" t="s">
        <v>5406</v>
      </c>
    </row>
    <row r="2812" spans="1:1" x14ac:dyDescent="0.25">
      <c r="A2812" s="19" t="s">
        <v>5407</v>
      </c>
    </row>
    <row r="2813" spans="1:1" x14ac:dyDescent="0.25">
      <c r="A2813" s="19" t="s">
        <v>5408</v>
      </c>
    </row>
    <row r="2814" spans="1:1" x14ac:dyDescent="0.25">
      <c r="A2814" s="19" t="s">
        <v>5409</v>
      </c>
    </row>
    <row r="2815" spans="1:1" x14ac:dyDescent="0.25">
      <c r="A2815" s="19" t="s">
        <v>5410</v>
      </c>
    </row>
    <row r="2816" spans="1:1" x14ac:dyDescent="0.25">
      <c r="A2816" s="19" t="s">
        <v>5411</v>
      </c>
    </row>
    <row r="2817" spans="1:1" x14ac:dyDescent="0.25">
      <c r="A2817" s="19" t="s">
        <v>5412</v>
      </c>
    </row>
    <row r="2818" spans="1:1" x14ac:dyDescent="0.25">
      <c r="A2818" s="19" t="s">
        <v>5413</v>
      </c>
    </row>
    <row r="2819" spans="1:1" x14ac:dyDescent="0.25">
      <c r="A2819" s="19" t="s">
        <v>5414</v>
      </c>
    </row>
    <row r="2820" spans="1:1" x14ac:dyDescent="0.25">
      <c r="A2820" s="19" t="s">
        <v>5415</v>
      </c>
    </row>
    <row r="2821" spans="1:1" x14ac:dyDescent="0.25">
      <c r="A2821" s="19" t="s">
        <v>5416</v>
      </c>
    </row>
    <row r="2822" spans="1:1" x14ac:dyDescent="0.25">
      <c r="A2822" s="19" t="s">
        <v>5417</v>
      </c>
    </row>
    <row r="2823" spans="1:1" x14ac:dyDescent="0.25">
      <c r="A2823" s="19" t="s">
        <v>5418</v>
      </c>
    </row>
    <row r="2824" spans="1:1" x14ac:dyDescent="0.25">
      <c r="A2824" s="19" t="s">
        <v>5419</v>
      </c>
    </row>
    <row r="2825" spans="1:1" x14ac:dyDescent="0.25">
      <c r="A2825" s="19" t="s">
        <v>5420</v>
      </c>
    </row>
    <row r="2826" spans="1:1" x14ac:dyDescent="0.25">
      <c r="A2826" s="19" t="s">
        <v>5421</v>
      </c>
    </row>
    <row r="2827" spans="1:1" x14ac:dyDescent="0.25">
      <c r="A2827" s="19" t="s">
        <v>5422</v>
      </c>
    </row>
    <row r="2828" spans="1:1" x14ac:dyDescent="0.25">
      <c r="A2828" s="19" t="s">
        <v>5423</v>
      </c>
    </row>
    <row r="2829" spans="1:1" x14ac:dyDescent="0.25">
      <c r="A2829" s="19" t="s">
        <v>5424</v>
      </c>
    </row>
    <row r="2830" spans="1:1" x14ac:dyDescent="0.25">
      <c r="A2830" s="19" t="s">
        <v>5425</v>
      </c>
    </row>
    <row r="2831" spans="1:1" x14ac:dyDescent="0.25">
      <c r="A2831" s="19" t="s">
        <v>5426</v>
      </c>
    </row>
    <row r="2832" spans="1:1" x14ac:dyDescent="0.25">
      <c r="A2832" s="19" t="s">
        <v>5427</v>
      </c>
    </row>
    <row r="2833" spans="1:1" x14ac:dyDescent="0.25">
      <c r="A2833" s="19" t="s">
        <v>5428</v>
      </c>
    </row>
    <row r="2834" spans="1:1" x14ac:dyDescent="0.25">
      <c r="A2834" s="19" t="s">
        <v>5429</v>
      </c>
    </row>
    <row r="2835" spans="1:1" x14ac:dyDescent="0.25">
      <c r="A2835" s="19" t="s">
        <v>5430</v>
      </c>
    </row>
    <row r="2836" spans="1:1" x14ac:dyDescent="0.25">
      <c r="A2836" s="19" t="s">
        <v>5431</v>
      </c>
    </row>
    <row r="2837" spans="1:1" x14ac:dyDescent="0.25">
      <c r="A2837" s="19" t="s">
        <v>5432</v>
      </c>
    </row>
    <row r="2838" spans="1:1" x14ac:dyDescent="0.25">
      <c r="A2838" s="19" t="s">
        <v>5433</v>
      </c>
    </row>
    <row r="2839" spans="1:1" x14ac:dyDescent="0.25">
      <c r="A2839" s="19" t="s">
        <v>5434</v>
      </c>
    </row>
    <row r="2840" spans="1:1" x14ac:dyDescent="0.25">
      <c r="A2840" s="19" t="s">
        <v>5435</v>
      </c>
    </row>
    <row r="2841" spans="1:1" x14ac:dyDescent="0.25">
      <c r="A2841" s="19" t="s">
        <v>5436</v>
      </c>
    </row>
    <row r="2842" spans="1:1" x14ac:dyDescent="0.25">
      <c r="A2842" s="19" t="s">
        <v>5437</v>
      </c>
    </row>
    <row r="2843" spans="1:1" x14ac:dyDescent="0.25">
      <c r="A2843" s="19" t="s">
        <v>5438</v>
      </c>
    </row>
    <row r="2844" spans="1:1" x14ac:dyDescent="0.25">
      <c r="A2844" s="19" t="s">
        <v>5439</v>
      </c>
    </row>
    <row r="2845" spans="1:1" x14ac:dyDescent="0.25">
      <c r="A2845" s="19" t="s">
        <v>5440</v>
      </c>
    </row>
    <row r="2846" spans="1:1" x14ac:dyDescent="0.25">
      <c r="A2846" s="19" t="s">
        <v>5441</v>
      </c>
    </row>
    <row r="2847" spans="1:1" x14ac:dyDescent="0.25">
      <c r="A2847" s="19" t="s">
        <v>5442</v>
      </c>
    </row>
    <row r="2848" spans="1:1" x14ac:dyDescent="0.25">
      <c r="A2848" s="19" t="s">
        <v>5443</v>
      </c>
    </row>
    <row r="2849" spans="1:1" x14ac:dyDescent="0.25">
      <c r="A2849" s="19" t="s">
        <v>5444</v>
      </c>
    </row>
    <row r="2850" spans="1:1" x14ac:dyDescent="0.25">
      <c r="A2850" s="19" t="s">
        <v>5445</v>
      </c>
    </row>
    <row r="2851" spans="1:1" x14ac:dyDescent="0.25">
      <c r="A2851" s="19" t="s">
        <v>5446</v>
      </c>
    </row>
    <row r="2852" spans="1:1" x14ac:dyDescent="0.25">
      <c r="A2852" s="19" t="s">
        <v>5447</v>
      </c>
    </row>
    <row r="2853" spans="1:1" x14ac:dyDescent="0.25">
      <c r="A2853" s="19" t="s">
        <v>5447</v>
      </c>
    </row>
    <row r="2854" spans="1:1" x14ac:dyDescent="0.25">
      <c r="A2854" s="19" t="s">
        <v>5448</v>
      </c>
    </row>
    <row r="2855" spans="1:1" x14ac:dyDescent="0.25">
      <c r="A2855" s="19" t="s">
        <v>5449</v>
      </c>
    </row>
    <row r="2856" spans="1:1" x14ac:dyDescent="0.25">
      <c r="A2856" s="19" t="s">
        <v>5450</v>
      </c>
    </row>
    <row r="2857" spans="1:1" x14ac:dyDescent="0.25">
      <c r="A2857" s="19" t="s">
        <v>5451</v>
      </c>
    </row>
    <row r="2858" spans="1:1" x14ac:dyDescent="0.25">
      <c r="A2858" s="19" t="s">
        <v>5452</v>
      </c>
    </row>
    <row r="2859" spans="1:1" x14ac:dyDescent="0.25">
      <c r="A2859" s="19" t="s">
        <v>5453</v>
      </c>
    </row>
    <row r="2860" spans="1:1" x14ac:dyDescent="0.25">
      <c r="A2860" s="19" t="s">
        <v>5454</v>
      </c>
    </row>
    <row r="2861" spans="1:1" x14ac:dyDescent="0.25">
      <c r="A2861" s="19" t="s">
        <v>5455</v>
      </c>
    </row>
    <row r="2862" spans="1:1" x14ac:dyDescent="0.25">
      <c r="A2862" s="19" t="s">
        <v>5456</v>
      </c>
    </row>
    <row r="2863" spans="1:1" x14ac:dyDescent="0.25">
      <c r="A2863" s="19" t="s">
        <v>5457</v>
      </c>
    </row>
    <row r="2864" spans="1:1" x14ac:dyDescent="0.25">
      <c r="A2864" s="19" t="s">
        <v>5458</v>
      </c>
    </row>
    <row r="2865" spans="1:1" x14ac:dyDescent="0.25">
      <c r="A2865" s="19" t="s">
        <v>5458</v>
      </c>
    </row>
    <row r="2866" spans="1:1" x14ac:dyDescent="0.25">
      <c r="A2866" s="19" t="s">
        <v>5459</v>
      </c>
    </row>
    <row r="2867" spans="1:1" x14ac:dyDescent="0.25">
      <c r="A2867" s="19" t="s">
        <v>5460</v>
      </c>
    </row>
    <row r="2868" spans="1:1" x14ac:dyDescent="0.25">
      <c r="A2868" s="19" t="s">
        <v>5460</v>
      </c>
    </row>
    <row r="2869" spans="1:1" x14ac:dyDescent="0.25">
      <c r="A2869" s="19" t="s">
        <v>5461</v>
      </c>
    </row>
    <row r="2870" spans="1:1" x14ac:dyDescent="0.25">
      <c r="A2870" s="19" t="s">
        <v>5462</v>
      </c>
    </row>
    <row r="2871" spans="1:1" x14ac:dyDescent="0.25">
      <c r="A2871" s="19" t="s">
        <v>5463</v>
      </c>
    </row>
    <row r="2872" spans="1:1" x14ac:dyDescent="0.25">
      <c r="A2872" s="19" t="s">
        <v>5464</v>
      </c>
    </row>
    <row r="2873" spans="1:1" x14ac:dyDescent="0.25">
      <c r="A2873" s="19" t="s">
        <v>5465</v>
      </c>
    </row>
    <row r="2874" spans="1:1" x14ac:dyDescent="0.25">
      <c r="A2874" s="19" t="s">
        <v>5466</v>
      </c>
    </row>
    <row r="2875" spans="1:1" x14ac:dyDescent="0.25">
      <c r="A2875" s="19" t="s">
        <v>5467</v>
      </c>
    </row>
    <row r="2876" spans="1:1" x14ac:dyDescent="0.25">
      <c r="A2876" s="19" t="s">
        <v>5468</v>
      </c>
    </row>
    <row r="2877" spans="1:1" x14ac:dyDescent="0.25">
      <c r="A2877" s="19" t="s">
        <v>5469</v>
      </c>
    </row>
    <row r="2878" spans="1:1" x14ac:dyDescent="0.25">
      <c r="A2878" s="19" t="s">
        <v>5470</v>
      </c>
    </row>
    <row r="2879" spans="1:1" x14ac:dyDescent="0.25">
      <c r="A2879" s="19" t="s">
        <v>5471</v>
      </c>
    </row>
    <row r="2880" spans="1:1" x14ac:dyDescent="0.25">
      <c r="A2880" s="19" t="s">
        <v>5472</v>
      </c>
    </row>
    <row r="2881" spans="1:1" x14ac:dyDescent="0.25">
      <c r="A2881" s="19" t="s">
        <v>5473</v>
      </c>
    </row>
    <row r="2882" spans="1:1" x14ac:dyDescent="0.25">
      <c r="A2882" s="19" t="s">
        <v>5474</v>
      </c>
    </row>
    <row r="2883" spans="1:1" x14ac:dyDescent="0.25">
      <c r="A2883" s="19" t="s">
        <v>5475</v>
      </c>
    </row>
    <row r="2884" spans="1:1" x14ac:dyDescent="0.25">
      <c r="A2884" s="19" t="s">
        <v>5476</v>
      </c>
    </row>
    <row r="2885" spans="1:1" x14ac:dyDescent="0.25">
      <c r="A2885" s="19" t="s">
        <v>5477</v>
      </c>
    </row>
    <row r="2886" spans="1:1" x14ac:dyDescent="0.25">
      <c r="A2886" s="19" t="s">
        <v>5478</v>
      </c>
    </row>
    <row r="2887" spans="1:1" x14ac:dyDescent="0.25">
      <c r="A2887" s="19" t="s">
        <v>5479</v>
      </c>
    </row>
    <row r="2888" spans="1:1" x14ac:dyDescent="0.25">
      <c r="A2888" s="19" t="s">
        <v>5480</v>
      </c>
    </row>
    <row r="2889" spans="1:1" x14ac:dyDescent="0.25">
      <c r="A2889" s="19" t="s">
        <v>5481</v>
      </c>
    </row>
    <row r="2890" spans="1:1" x14ac:dyDescent="0.25">
      <c r="A2890" s="19" t="s">
        <v>5482</v>
      </c>
    </row>
    <row r="2891" spans="1:1" x14ac:dyDescent="0.25">
      <c r="A2891" s="19" t="s">
        <v>5483</v>
      </c>
    </row>
    <row r="2892" spans="1:1" x14ac:dyDescent="0.25">
      <c r="A2892" s="19" t="s">
        <v>5484</v>
      </c>
    </row>
    <row r="2893" spans="1:1" x14ac:dyDescent="0.25">
      <c r="A2893" s="19" t="s">
        <v>5485</v>
      </c>
    </row>
    <row r="2894" spans="1:1" x14ac:dyDescent="0.25">
      <c r="A2894" s="19" t="s">
        <v>5486</v>
      </c>
    </row>
    <row r="2895" spans="1:1" x14ac:dyDescent="0.25">
      <c r="A2895" s="19" t="s">
        <v>5487</v>
      </c>
    </row>
    <row r="2896" spans="1:1" x14ac:dyDescent="0.25">
      <c r="A2896" s="19" t="s">
        <v>5488</v>
      </c>
    </row>
    <row r="2897" spans="1:1" x14ac:dyDescent="0.25">
      <c r="A2897" s="19" t="s">
        <v>5489</v>
      </c>
    </row>
    <row r="2898" spans="1:1" x14ac:dyDescent="0.25">
      <c r="A2898" s="19" t="s">
        <v>5490</v>
      </c>
    </row>
    <row r="2899" spans="1:1" x14ac:dyDescent="0.25">
      <c r="A2899" s="19" t="s">
        <v>5491</v>
      </c>
    </row>
    <row r="2900" spans="1:1" x14ac:dyDescent="0.25">
      <c r="A2900" s="19" t="s">
        <v>5492</v>
      </c>
    </row>
    <row r="2901" spans="1:1" x14ac:dyDescent="0.25">
      <c r="A2901" s="19" t="s">
        <v>5493</v>
      </c>
    </row>
    <row r="2902" spans="1:1" x14ac:dyDescent="0.25">
      <c r="A2902" s="19" t="s">
        <v>5494</v>
      </c>
    </row>
    <row r="2903" spans="1:1" x14ac:dyDescent="0.25">
      <c r="A2903" s="19" t="s">
        <v>5495</v>
      </c>
    </row>
    <row r="2904" spans="1:1" x14ac:dyDescent="0.25">
      <c r="A2904" s="19" t="s">
        <v>5496</v>
      </c>
    </row>
    <row r="2905" spans="1:1" x14ac:dyDescent="0.25">
      <c r="A2905" s="19" t="s">
        <v>5497</v>
      </c>
    </row>
    <row r="2906" spans="1:1" x14ac:dyDescent="0.25">
      <c r="A2906" s="19" t="s">
        <v>5498</v>
      </c>
    </row>
    <row r="2907" spans="1:1" x14ac:dyDescent="0.25">
      <c r="A2907" s="19" t="s">
        <v>5499</v>
      </c>
    </row>
    <row r="2908" spans="1:1" x14ac:dyDescent="0.25">
      <c r="A2908" s="19" t="s">
        <v>5500</v>
      </c>
    </row>
    <row r="2909" spans="1:1" x14ac:dyDescent="0.25">
      <c r="A2909" s="19" t="s">
        <v>5501</v>
      </c>
    </row>
    <row r="2910" spans="1:1" x14ac:dyDescent="0.25">
      <c r="A2910" s="19" t="s">
        <v>5502</v>
      </c>
    </row>
    <row r="2911" spans="1:1" x14ac:dyDescent="0.25">
      <c r="A2911" s="19" t="s">
        <v>5503</v>
      </c>
    </row>
    <row r="2912" spans="1:1" x14ac:dyDescent="0.25">
      <c r="A2912" s="19" t="s">
        <v>5504</v>
      </c>
    </row>
    <row r="2913" spans="1:1" x14ac:dyDescent="0.25">
      <c r="A2913" s="19" t="s">
        <v>5505</v>
      </c>
    </row>
    <row r="2914" spans="1:1" x14ac:dyDescent="0.25">
      <c r="A2914" s="19" t="s">
        <v>5506</v>
      </c>
    </row>
    <row r="2915" spans="1:1" x14ac:dyDescent="0.25">
      <c r="A2915" s="19" t="s">
        <v>5507</v>
      </c>
    </row>
    <row r="2916" spans="1:1" x14ac:dyDescent="0.25">
      <c r="A2916" s="19" t="s">
        <v>5508</v>
      </c>
    </row>
    <row r="2917" spans="1:1" x14ac:dyDescent="0.25">
      <c r="A2917" s="19" t="s">
        <v>5509</v>
      </c>
    </row>
    <row r="2918" spans="1:1" x14ac:dyDescent="0.25">
      <c r="A2918" s="19" t="s">
        <v>5510</v>
      </c>
    </row>
    <row r="2919" spans="1:1" x14ac:dyDescent="0.25">
      <c r="A2919" s="19" t="s">
        <v>5511</v>
      </c>
    </row>
    <row r="2920" spans="1:1" x14ac:dyDescent="0.25">
      <c r="A2920" s="19" t="s">
        <v>5512</v>
      </c>
    </row>
    <row r="2921" spans="1:1" x14ac:dyDescent="0.25">
      <c r="A2921" s="19" t="s">
        <v>5513</v>
      </c>
    </row>
    <row r="2922" spans="1:1" x14ac:dyDescent="0.25">
      <c r="A2922" s="19" t="s">
        <v>5514</v>
      </c>
    </row>
    <row r="2923" spans="1:1" x14ac:dyDescent="0.25">
      <c r="A2923" s="19" t="s">
        <v>5515</v>
      </c>
    </row>
    <row r="2924" spans="1:1" x14ac:dyDescent="0.25">
      <c r="A2924" s="19" t="s">
        <v>5516</v>
      </c>
    </row>
    <row r="2925" spans="1:1" x14ac:dyDescent="0.25">
      <c r="A2925" s="19" t="s">
        <v>5517</v>
      </c>
    </row>
    <row r="2926" spans="1:1" x14ac:dyDescent="0.25">
      <c r="A2926" s="19" t="s">
        <v>5518</v>
      </c>
    </row>
    <row r="2927" spans="1:1" x14ac:dyDescent="0.25">
      <c r="A2927" s="19" t="s">
        <v>5519</v>
      </c>
    </row>
    <row r="2928" spans="1:1" x14ac:dyDescent="0.25">
      <c r="A2928" s="19" t="s">
        <v>5520</v>
      </c>
    </row>
    <row r="2929" spans="1:1" x14ac:dyDescent="0.25">
      <c r="A2929" s="19" t="s">
        <v>5521</v>
      </c>
    </row>
    <row r="2930" spans="1:1" x14ac:dyDescent="0.25">
      <c r="A2930" s="19" t="s">
        <v>5522</v>
      </c>
    </row>
    <row r="2931" spans="1:1" x14ac:dyDescent="0.25">
      <c r="A2931" s="19" t="s">
        <v>5523</v>
      </c>
    </row>
    <row r="2932" spans="1:1" x14ac:dyDescent="0.25">
      <c r="A2932" s="19" t="s">
        <v>5524</v>
      </c>
    </row>
    <row r="2933" spans="1:1" x14ac:dyDescent="0.25">
      <c r="A2933" s="19" t="s">
        <v>5525</v>
      </c>
    </row>
    <row r="2934" spans="1:1" x14ac:dyDescent="0.25">
      <c r="A2934" s="19" t="s">
        <v>5526</v>
      </c>
    </row>
    <row r="2935" spans="1:1" x14ac:dyDescent="0.25">
      <c r="A2935" s="19" t="s">
        <v>5527</v>
      </c>
    </row>
    <row r="2936" spans="1:1" x14ac:dyDescent="0.25">
      <c r="A2936" s="19" t="s">
        <v>5528</v>
      </c>
    </row>
    <row r="2937" spans="1:1" x14ac:dyDescent="0.25">
      <c r="A2937" s="19" t="s">
        <v>5529</v>
      </c>
    </row>
    <row r="2938" spans="1:1" x14ac:dyDescent="0.25">
      <c r="A2938" s="19" t="s">
        <v>5530</v>
      </c>
    </row>
    <row r="2939" spans="1:1" x14ac:dyDescent="0.25">
      <c r="A2939" s="19" t="s">
        <v>5531</v>
      </c>
    </row>
    <row r="2940" spans="1:1" x14ac:dyDescent="0.25">
      <c r="A2940" s="19" t="s">
        <v>5532</v>
      </c>
    </row>
    <row r="2941" spans="1:1" x14ac:dyDescent="0.25">
      <c r="A2941" s="19" t="s">
        <v>5533</v>
      </c>
    </row>
    <row r="2942" spans="1:1" x14ac:dyDescent="0.25">
      <c r="A2942" s="19" t="s">
        <v>5534</v>
      </c>
    </row>
    <row r="2943" spans="1:1" x14ac:dyDescent="0.25">
      <c r="A2943" s="19" t="s">
        <v>5535</v>
      </c>
    </row>
    <row r="2944" spans="1:1" x14ac:dyDescent="0.25">
      <c r="A2944" s="19" t="s">
        <v>5536</v>
      </c>
    </row>
    <row r="2945" spans="1:1" x14ac:dyDescent="0.25">
      <c r="A2945" s="19" t="s">
        <v>5537</v>
      </c>
    </row>
    <row r="2946" spans="1:1" x14ac:dyDescent="0.25">
      <c r="A2946" s="19" t="s">
        <v>5537</v>
      </c>
    </row>
    <row r="2947" spans="1:1" x14ac:dyDescent="0.25">
      <c r="A2947" s="19" t="s">
        <v>5537</v>
      </c>
    </row>
    <row r="2948" spans="1:1" x14ac:dyDescent="0.25">
      <c r="A2948" s="19" t="s">
        <v>5538</v>
      </c>
    </row>
    <row r="2949" spans="1:1" x14ac:dyDescent="0.25">
      <c r="A2949" s="19" t="s">
        <v>5539</v>
      </c>
    </row>
    <row r="2950" spans="1:1" x14ac:dyDescent="0.25">
      <c r="A2950" s="19" t="s">
        <v>5540</v>
      </c>
    </row>
    <row r="2951" spans="1:1" x14ac:dyDescent="0.25">
      <c r="A2951" s="19" t="s">
        <v>5541</v>
      </c>
    </row>
    <row r="2952" spans="1:1" x14ac:dyDescent="0.25">
      <c r="A2952" s="19" t="s">
        <v>5542</v>
      </c>
    </row>
    <row r="2953" spans="1:1" x14ac:dyDescent="0.25">
      <c r="A2953" s="19" t="s">
        <v>5543</v>
      </c>
    </row>
    <row r="2954" spans="1:1" x14ac:dyDescent="0.25">
      <c r="A2954" s="19" t="s">
        <v>5544</v>
      </c>
    </row>
    <row r="2955" spans="1:1" x14ac:dyDescent="0.25">
      <c r="A2955" s="19" t="s">
        <v>5545</v>
      </c>
    </row>
    <row r="2956" spans="1:1" x14ac:dyDescent="0.25">
      <c r="A2956" s="19" t="s">
        <v>5546</v>
      </c>
    </row>
    <row r="2957" spans="1:1" x14ac:dyDescent="0.25">
      <c r="A2957" s="19" t="s">
        <v>5547</v>
      </c>
    </row>
    <row r="2958" spans="1:1" x14ac:dyDescent="0.25">
      <c r="A2958" s="19" t="s">
        <v>5548</v>
      </c>
    </row>
    <row r="2959" spans="1:1" x14ac:dyDescent="0.25">
      <c r="A2959" s="19" t="s">
        <v>5549</v>
      </c>
    </row>
    <row r="2960" spans="1:1" x14ac:dyDescent="0.25">
      <c r="A2960" s="19" t="s">
        <v>5550</v>
      </c>
    </row>
    <row r="2961" spans="1:1" x14ac:dyDescent="0.25">
      <c r="A2961" s="19" t="s">
        <v>5551</v>
      </c>
    </row>
    <row r="2962" spans="1:1" x14ac:dyDescent="0.25">
      <c r="A2962" s="19" t="s">
        <v>5552</v>
      </c>
    </row>
    <row r="2963" spans="1:1" x14ac:dyDescent="0.25">
      <c r="A2963" s="19" t="s">
        <v>5553</v>
      </c>
    </row>
    <row r="2964" spans="1:1" x14ac:dyDescent="0.25">
      <c r="A2964" s="19" t="s">
        <v>5554</v>
      </c>
    </row>
    <row r="2965" spans="1:1" x14ac:dyDescent="0.25">
      <c r="A2965" s="19" t="s">
        <v>5555</v>
      </c>
    </row>
    <row r="2966" spans="1:1" x14ac:dyDescent="0.25">
      <c r="A2966" s="19" t="s">
        <v>5556</v>
      </c>
    </row>
    <row r="2967" spans="1:1" x14ac:dyDescent="0.25">
      <c r="A2967" s="19" t="s">
        <v>5557</v>
      </c>
    </row>
    <row r="2968" spans="1:1" x14ac:dyDescent="0.25">
      <c r="A2968" s="19" t="s">
        <v>5558</v>
      </c>
    </row>
    <row r="2969" spans="1:1" x14ac:dyDescent="0.25">
      <c r="A2969" s="19" t="s">
        <v>5559</v>
      </c>
    </row>
    <row r="2970" spans="1:1" x14ac:dyDescent="0.25">
      <c r="A2970" s="19" t="s">
        <v>5560</v>
      </c>
    </row>
    <row r="2971" spans="1:1" x14ac:dyDescent="0.25">
      <c r="A2971" s="19" t="s">
        <v>5561</v>
      </c>
    </row>
    <row r="2972" spans="1:1" x14ac:dyDescent="0.25">
      <c r="A2972" s="19" t="s">
        <v>5562</v>
      </c>
    </row>
    <row r="2973" spans="1:1" x14ac:dyDescent="0.25">
      <c r="A2973" s="19" t="s">
        <v>5563</v>
      </c>
    </row>
    <row r="2974" spans="1:1" x14ac:dyDescent="0.25">
      <c r="A2974" s="19" t="s">
        <v>5564</v>
      </c>
    </row>
    <row r="2975" spans="1:1" x14ac:dyDescent="0.25">
      <c r="A2975" s="19" t="s">
        <v>5565</v>
      </c>
    </row>
    <row r="2976" spans="1:1" x14ac:dyDescent="0.25">
      <c r="A2976" s="19" t="s">
        <v>5566</v>
      </c>
    </row>
    <row r="2977" spans="1:1" x14ac:dyDescent="0.25">
      <c r="A2977" s="19" t="s">
        <v>5567</v>
      </c>
    </row>
    <row r="2978" spans="1:1" x14ac:dyDescent="0.25">
      <c r="A2978" s="19" t="s">
        <v>5568</v>
      </c>
    </row>
    <row r="2979" spans="1:1" x14ac:dyDescent="0.25">
      <c r="A2979" s="19" t="s">
        <v>5569</v>
      </c>
    </row>
    <row r="2980" spans="1:1" x14ac:dyDescent="0.25">
      <c r="A2980" s="19" t="s">
        <v>5570</v>
      </c>
    </row>
    <row r="2981" spans="1:1" x14ac:dyDescent="0.25">
      <c r="A2981" s="19" t="s">
        <v>5571</v>
      </c>
    </row>
    <row r="2982" spans="1:1" x14ac:dyDescent="0.25">
      <c r="A2982" s="19" t="s">
        <v>5572</v>
      </c>
    </row>
    <row r="2983" spans="1:1" x14ac:dyDescent="0.25">
      <c r="A2983" s="19" t="s">
        <v>5573</v>
      </c>
    </row>
    <row r="2984" spans="1:1" x14ac:dyDescent="0.25">
      <c r="A2984" s="19" t="s">
        <v>5574</v>
      </c>
    </row>
    <row r="2985" spans="1:1" x14ac:dyDescent="0.25">
      <c r="A2985" s="19" t="s">
        <v>5575</v>
      </c>
    </row>
    <row r="2986" spans="1:1" x14ac:dyDescent="0.25">
      <c r="A2986" s="19" t="s">
        <v>5576</v>
      </c>
    </row>
    <row r="2987" spans="1:1" x14ac:dyDescent="0.25">
      <c r="A2987" s="19" t="s">
        <v>5577</v>
      </c>
    </row>
    <row r="2988" spans="1:1" x14ac:dyDescent="0.25">
      <c r="A2988" s="19" t="s">
        <v>5578</v>
      </c>
    </row>
    <row r="2989" spans="1:1" x14ac:dyDescent="0.25">
      <c r="A2989" s="19" t="s">
        <v>5579</v>
      </c>
    </row>
    <row r="2990" spans="1:1" x14ac:dyDescent="0.25">
      <c r="A2990" s="19" t="s">
        <v>5580</v>
      </c>
    </row>
    <row r="2991" spans="1:1" x14ac:dyDescent="0.25">
      <c r="A2991" s="19" t="s">
        <v>5581</v>
      </c>
    </row>
    <row r="2992" spans="1:1" x14ac:dyDescent="0.25">
      <c r="A2992" s="19" t="s">
        <v>5582</v>
      </c>
    </row>
    <row r="2993" spans="1:1" x14ac:dyDescent="0.25">
      <c r="A2993" s="19" t="s">
        <v>5583</v>
      </c>
    </row>
    <row r="2994" spans="1:1" x14ac:dyDescent="0.25">
      <c r="A2994" s="19" t="s">
        <v>5584</v>
      </c>
    </row>
    <row r="2995" spans="1:1" x14ac:dyDescent="0.25">
      <c r="A2995" s="19" t="s">
        <v>5585</v>
      </c>
    </row>
    <row r="2996" spans="1:1" x14ac:dyDescent="0.25">
      <c r="A2996" s="19" t="s">
        <v>5586</v>
      </c>
    </row>
    <row r="2997" spans="1:1" x14ac:dyDescent="0.25">
      <c r="A2997" s="19" t="s">
        <v>5587</v>
      </c>
    </row>
    <row r="2998" spans="1:1" x14ac:dyDescent="0.25">
      <c r="A2998" s="19" t="s">
        <v>5588</v>
      </c>
    </row>
    <row r="2999" spans="1:1" x14ac:dyDescent="0.25">
      <c r="A2999" s="19" t="s">
        <v>5589</v>
      </c>
    </row>
    <row r="3000" spans="1:1" x14ac:dyDescent="0.25">
      <c r="A3000" s="19" t="s">
        <v>5590</v>
      </c>
    </row>
    <row r="3001" spans="1:1" x14ac:dyDescent="0.25">
      <c r="A3001" s="19" t="s">
        <v>5591</v>
      </c>
    </row>
    <row r="3002" spans="1:1" x14ac:dyDescent="0.25">
      <c r="A3002" s="19" t="s">
        <v>5592</v>
      </c>
    </row>
    <row r="3003" spans="1:1" x14ac:dyDescent="0.25">
      <c r="A3003" s="19" t="s">
        <v>5593</v>
      </c>
    </row>
    <row r="3004" spans="1:1" x14ac:dyDescent="0.25">
      <c r="A3004" s="19" t="s">
        <v>5594</v>
      </c>
    </row>
    <row r="3005" spans="1:1" x14ac:dyDescent="0.25">
      <c r="A3005" s="19" t="s">
        <v>5595</v>
      </c>
    </row>
    <row r="3006" spans="1:1" x14ac:dyDescent="0.25">
      <c r="A3006" s="19" t="s">
        <v>5596</v>
      </c>
    </row>
    <row r="3007" spans="1:1" x14ac:dyDescent="0.25">
      <c r="A3007" s="19" t="s">
        <v>5597</v>
      </c>
    </row>
    <row r="3008" spans="1:1" x14ac:dyDescent="0.25">
      <c r="A3008" s="19" t="s">
        <v>5598</v>
      </c>
    </row>
    <row r="3009" spans="1:1" x14ac:dyDescent="0.25">
      <c r="A3009" s="19" t="s">
        <v>5599</v>
      </c>
    </row>
    <row r="3010" spans="1:1" x14ac:dyDescent="0.25">
      <c r="A3010" s="19" t="s">
        <v>5600</v>
      </c>
    </row>
    <row r="3011" spans="1:1" x14ac:dyDescent="0.25">
      <c r="A3011" s="19" t="s">
        <v>5601</v>
      </c>
    </row>
    <row r="3012" spans="1:1" x14ac:dyDescent="0.25">
      <c r="A3012" s="19" t="s">
        <v>5602</v>
      </c>
    </row>
    <row r="3013" spans="1:1" x14ac:dyDescent="0.25">
      <c r="A3013" s="19" t="s">
        <v>5603</v>
      </c>
    </row>
    <row r="3014" spans="1:1" x14ac:dyDescent="0.25">
      <c r="A3014" s="19" t="s">
        <v>5604</v>
      </c>
    </row>
    <row r="3015" spans="1:1" x14ac:dyDescent="0.25">
      <c r="A3015" s="19" t="s">
        <v>5605</v>
      </c>
    </row>
    <row r="3016" spans="1:1" x14ac:dyDescent="0.25">
      <c r="A3016" s="19" t="s">
        <v>5606</v>
      </c>
    </row>
    <row r="3017" spans="1:1" x14ac:dyDescent="0.25">
      <c r="A3017" s="19" t="s">
        <v>5607</v>
      </c>
    </row>
    <row r="3018" spans="1:1" x14ac:dyDescent="0.25">
      <c r="A3018" s="19" t="s">
        <v>5608</v>
      </c>
    </row>
    <row r="3019" spans="1:1" x14ac:dyDescent="0.25">
      <c r="A3019" s="19" t="s">
        <v>5609</v>
      </c>
    </row>
    <row r="3020" spans="1:1" x14ac:dyDescent="0.25">
      <c r="A3020" s="19" t="s">
        <v>5610</v>
      </c>
    </row>
    <row r="3021" spans="1:1" x14ac:dyDescent="0.25">
      <c r="A3021" s="19" t="s">
        <v>5611</v>
      </c>
    </row>
    <row r="3022" spans="1:1" x14ac:dyDescent="0.25">
      <c r="A3022" s="19" t="s">
        <v>5612</v>
      </c>
    </row>
    <row r="3023" spans="1:1" x14ac:dyDescent="0.25">
      <c r="A3023" s="19" t="s">
        <v>5613</v>
      </c>
    </row>
    <row r="3024" spans="1:1" x14ac:dyDescent="0.25">
      <c r="A3024" s="19" t="s">
        <v>5614</v>
      </c>
    </row>
    <row r="3025" spans="1:1" x14ac:dyDescent="0.25">
      <c r="A3025" s="19" t="s">
        <v>5615</v>
      </c>
    </row>
    <row r="3026" spans="1:1" x14ac:dyDescent="0.25">
      <c r="A3026" s="19" t="s">
        <v>5616</v>
      </c>
    </row>
    <row r="3027" spans="1:1" x14ac:dyDescent="0.25">
      <c r="A3027" s="19" t="s">
        <v>5617</v>
      </c>
    </row>
    <row r="3028" spans="1:1" x14ac:dyDescent="0.25">
      <c r="A3028" s="19" t="s">
        <v>5618</v>
      </c>
    </row>
    <row r="3029" spans="1:1" x14ac:dyDescent="0.25">
      <c r="A3029" s="19" t="s">
        <v>5619</v>
      </c>
    </row>
    <row r="3030" spans="1:1" x14ac:dyDescent="0.25">
      <c r="A3030" s="19" t="s">
        <v>5620</v>
      </c>
    </row>
    <row r="3031" spans="1:1" x14ac:dyDescent="0.25">
      <c r="A3031" s="19" t="s">
        <v>5621</v>
      </c>
    </row>
    <row r="3032" spans="1:1" x14ac:dyDescent="0.25">
      <c r="A3032" s="19" t="s">
        <v>5622</v>
      </c>
    </row>
    <row r="3033" spans="1:1" x14ac:dyDescent="0.25">
      <c r="A3033" s="19" t="s">
        <v>5623</v>
      </c>
    </row>
    <row r="3034" spans="1:1" x14ac:dyDescent="0.25">
      <c r="A3034" s="19" t="s">
        <v>5624</v>
      </c>
    </row>
    <row r="3035" spans="1:1" x14ac:dyDescent="0.25">
      <c r="A3035" s="19" t="s">
        <v>5625</v>
      </c>
    </row>
    <row r="3036" spans="1:1" x14ac:dyDescent="0.25">
      <c r="A3036" s="19" t="s">
        <v>5626</v>
      </c>
    </row>
    <row r="3037" spans="1:1" x14ac:dyDescent="0.25">
      <c r="A3037" s="19" t="s">
        <v>5627</v>
      </c>
    </row>
    <row r="3038" spans="1:1" x14ac:dyDescent="0.25">
      <c r="A3038" s="19" t="s">
        <v>5628</v>
      </c>
    </row>
    <row r="3039" spans="1:1" x14ac:dyDescent="0.25">
      <c r="A3039" s="19" t="s">
        <v>5629</v>
      </c>
    </row>
    <row r="3040" spans="1:1" x14ac:dyDescent="0.25">
      <c r="A3040" s="19" t="s">
        <v>5630</v>
      </c>
    </row>
    <row r="3041" spans="1:1" x14ac:dyDescent="0.25">
      <c r="A3041" s="19" t="s">
        <v>5631</v>
      </c>
    </row>
    <row r="3042" spans="1:1" x14ac:dyDescent="0.25">
      <c r="A3042" s="19" t="s">
        <v>5632</v>
      </c>
    </row>
    <row r="3043" spans="1:1" x14ac:dyDescent="0.25">
      <c r="A3043" s="19" t="s">
        <v>5633</v>
      </c>
    </row>
    <row r="3044" spans="1:1" x14ac:dyDescent="0.25">
      <c r="A3044" s="19" t="s">
        <v>5634</v>
      </c>
    </row>
    <row r="3045" spans="1:1" x14ac:dyDescent="0.25">
      <c r="A3045" s="19" t="s">
        <v>5635</v>
      </c>
    </row>
    <row r="3046" spans="1:1" x14ac:dyDescent="0.25">
      <c r="A3046" s="19" t="s">
        <v>5636</v>
      </c>
    </row>
    <row r="3047" spans="1:1" x14ac:dyDescent="0.25">
      <c r="A3047" s="19" t="s">
        <v>5637</v>
      </c>
    </row>
    <row r="3048" spans="1:1" x14ac:dyDescent="0.25">
      <c r="A3048" s="19" t="s">
        <v>5638</v>
      </c>
    </row>
    <row r="3049" spans="1:1" x14ac:dyDescent="0.25">
      <c r="A3049" s="19" t="s">
        <v>5639</v>
      </c>
    </row>
    <row r="3050" spans="1:1" x14ac:dyDescent="0.25">
      <c r="A3050" s="19" t="s">
        <v>5640</v>
      </c>
    </row>
    <row r="3051" spans="1:1" x14ac:dyDescent="0.25">
      <c r="A3051" s="19" t="s">
        <v>5641</v>
      </c>
    </row>
    <row r="3052" spans="1:1" x14ac:dyDescent="0.25">
      <c r="A3052" s="19" t="s">
        <v>5642</v>
      </c>
    </row>
    <row r="3053" spans="1:1" x14ac:dyDescent="0.25">
      <c r="A3053" s="19" t="s">
        <v>5643</v>
      </c>
    </row>
    <row r="3054" spans="1:1" x14ac:dyDescent="0.25">
      <c r="A3054" s="19" t="s">
        <v>5644</v>
      </c>
    </row>
    <row r="3055" spans="1:1" x14ac:dyDescent="0.25">
      <c r="A3055" s="19" t="s">
        <v>5645</v>
      </c>
    </row>
    <row r="3056" spans="1:1" x14ac:dyDescent="0.25">
      <c r="A3056" s="19" t="s">
        <v>5646</v>
      </c>
    </row>
    <row r="3057" spans="1:1" x14ac:dyDescent="0.25">
      <c r="A3057" s="19" t="s">
        <v>5647</v>
      </c>
    </row>
    <row r="3058" spans="1:1" x14ac:dyDescent="0.25">
      <c r="A3058" s="19" t="s">
        <v>5648</v>
      </c>
    </row>
    <row r="3059" spans="1:1" x14ac:dyDescent="0.25">
      <c r="A3059" s="19" t="s">
        <v>5649</v>
      </c>
    </row>
    <row r="3060" spans="1:1" x14ac:dyDescent="0.25">
      <c r="A3060" s="19" t="s">
        <v>5650</v>
      </c>
    </row>
    <row r="3061" spans="1:1" x14ac:dyDescent="0.25">
      <c r="A3061" s="19" t="s">
        <v>5651</v>
      </c>
    </row>
    <row r="3062" spans="1:1" x14ac:dyDescent="0.25">
      <c r="A3062" s="19" t="s">
        <v>5652</v>
      </c>
    </row>
    <row r="3063" spans="1:1" x14ac:dyDescent="0.25">
      <c r="A3063" s="19" t="s">
        <v>5652</v>
      </c>
    </row>
    <row r="3064" spans="1:1" x14ac:dyDescent="0.25">
      <c r="A3064" s="19" t="s">
        <v>5653</v>
      </c>
    </row>
    <row r="3065" spans="1:1" x14ac:dyDescent="0.25">
      <c r="A3065" s="19" t="s">
        <v>5654</v>
      </c>
    </row>
    <row r="3066" spans="1:1" x14ac:dyDescent="0.25">
      <c r="A3066" s="19" t="s">
        <v>5655</v>
      </c>
    </row>
    <row r="3067" spans="1:1" x14ac:dyDescent="0.25">
      <c r="A3067" s="19" t="s">
        <v>5656</v>
      </c>
    </row>
    <row r="3068" spans="1:1" x14ac:dyDescent="0.25">
      <c r="A3068" s="19" t="s">
        <v>5657</v>
      </c>
    </row>
    <row r="3069" spans="1:1" x14ac:dyDescent="0.25">
      <c r="A3069" s="19" t="s">
        <v>5658</v>
      </c>
    </row>
    <row r="3070" spans="1:1" x14ac:dyDescent="0.25">
      <c r="A3070" s="19" t="s">
        <v>5659</v>
      </c>
    </row>
    <row r="3071" spans="1:1" x14ac:dyDescent="0.25">
      <c r="A3071" s="19" t="s">
        <v>5660</v>
      </c>
    </row>
    <row r="3072" spans="1:1" x14ac:dyDescent="0.25">
      <c r="A3072" s="19" t="s">
        <v>5661</v>
      </c>
    </row>
    <row r="3073" spans="1:1" x14ac:dyDescent="0.25">
      <c r="A3073" s="19" t="s">
        <v>5662</v>
      </c>
    </row>
    <row r="3074" spans="1:1" x14ac:dyDescent="0.25">
      <c r="A3074" s="19" t="s">
        <v>5663</v>
      </c>
    </row>
    <row r="3075" spans="1:1" x14ac:dyDescent="0.25">
      <c r="A3075" s="19" t="s">
        <v>5664</v>
      </c>
    </row>
    <row r="3076" spans="1:1" x14ac:dyDescent="0.25">
      <c r="A3076" s="19" t="s">
        <v>5665</v>
      </c>
    </row>
    <row r="3077" spans="1:1" x14ac:dyDescent="0.25">
      <c r="A3077" s="19" t="s">
        <v>5666</v>
      </c>
    </row>
    <row r="3078" spans="1:1" x14ac:dyDescent="0.25">
      <c r="A3078" s="19" t="s">
        <v>5667</v>
      </c>
    </row>
    <row r="3079" spans="1:1" x14ac:dyDescent="0.25">
      <c r="A3079" s="19" t="s">
        <v>5668</v>
      </c>
    </row>
    <row r="3080" spans="1:1" x14ac:dyDescent="0.25">
      <c r="A3080" s="19" t="s">
        <v>5669</v>
      </c>
    </row>
    <row r="3081" spans="1:1" x14ac:dyDescent="0.25">
      <c r="A3081" s="19" t="s">
        <v>5670</v>
      </c>
    </row>
    <row r="3082" spans="1:1" x14ac:dyDescent="0.25">
      <c r="A3082" s="19" t="s">
        <v>5671</v>
      </c>
    </row>
    <row r="3083" spans="1:1" x14ac:dyDescent="0.25">
      <c r="A3083" s="19" t="s">
        <v>5672</v>
      </c>
    </row>
    <row r="3084" spans="1:1" x14ac:dyDescent="0.25">
      <c r="A3084" s="19" t="s">
        <v>5673</v>
      </c>
    </row>
    <row r="3085" spans="1:1" x14ac:dyDescent="0.25">
      <c r="A3085" s="19" t="s">
        <v>5674</v>
      </c>
    </row>
    <row r="3086" spans="1:1" x14ac:dyDescent="0.25">
      <c r="A3086" s="19" t="s">
        <v>5674</v>
      </c>
    </row>
    <row r="3087" spans="1:1" x14ac:dyDescent="0.25">
      <c r="A3087" s="19" t="s">
        <v>5675</v>
      </c>
    </row>
    <row r="3088" spans="1:1" x14ac:dyDescent="0.25">
      <c r="A3088" s="19" t="s">
        <v>5676</v>
      </c>
    </row>
    <row r="3089" spans="1:1" x14ac:dyDescent="0.25">
      <c r="A3089" s="19" t="s">
        <v>5677</v>
      </c>
    </row>
    <row r="3090" spans="1:1" x14ac:dyDescent="0.25">
      <c r="A3090" s="19" t="s">
        <v>5678</v>
      </c>
    </row>
    <row r="3091" spans="1:1" x14ac:dyDescent="0.25">
      <c r="A3091" s="19" t="s">
        <v>5679</v>
      </c>
    </row>
    <row r="3092" spans="1:1" x14ac:dyDescent="0.25">
      <c r="A3092" s="19" t="s">
        <v>5680</v>
      </c>
    </row>
    <row r="3093" spans="1:1" x14ac:dyDescent="0.25">
      <c r="A3093" s="19" t="s">
        <v>5680</v>
      </c>
    </row>
    <row r="3094" spans="1:1" x14ac:dyDescent="0.25">
      <c r="A3094" s="19" t="s">
        <v>5681</v>
      </c>
    </row>
    <row r="3095" spans="1:1" x14ac:dyDescent="0.25">
      <c r="A3095" s="19" t="s">
        <v>5682</v>
      </c>
    </row>
    <row r="3096" spans="1:1" x14ac:dyDescent="0.25">
      <c r="A3096" s="19" t="s">
        <v>5683</v>
      </c>
    </row>
    <row r="3097" spans="1:1" x14ac:dyDescent="0.25">
      <c r="A3097" s="19" t="s">
        <v>5684</v>
      </c>
    </row>
    <row r="3098" spans="1:1" x14ac:dyDescent="0.25">
      <c r="A3098" s="19" t="s">
        <v>5685</v>
      </c>
    </row>
    <row r="3099" spans="1:1" x14ac:dyDescent="0.25">
      <c r="A3099" s="19" t="s">
        <v>5686</v>
      </c>
    </row>
    <row r="3100" spans="1:1" x14ac:dyDescent="0.25">
      <c r="A3100" s="19" t="s">
        <v>5687</v>
      </c>
    </row>
    <row r="3101" spans="1:1" x14ac:dyDescent="0.25">
      <c r="A3101" s="19" t="s">
        <v>5688</v>
      </c>
    </row>
    <row r="3102" spans="1:1" x14ac:dyDescent="0.25">
      <c r="A3102" s="19" t="s">
        <v>5689</v>
      </c>
    </row>
    <row r="3103" spans="1:1" x14ac:dyDescent="0.25">
      <c r="A3103" s="19" t="s">
        <v>5690</v>
      </c>
    </row>
    <row r="3104" spans="1:1" x14ac:dyDescent="0.25">
      <c r="A3104" s="19" t="s">
        <v>5691</v>
      </c>
    </row>
    <row r="3105" spans="1:1" x14ac:dyDescent="0.25">
      <c r="A3105" s="19" t="s">
        <v>5692</v>
      </c>
    </row>
    <row r="3106" spans="1:1" x14ac:dyDescent="0.25">
      <c r="A3106" s="19" t="s">
        <v>5693</v>
      </c>
    </row>
    <row r="3107" spans="1:1" x14ac:dyDescent="0.25">
      <c r="A3107" s="19" t="s">
        <v>5694</v>
      </c>
    </row>
    <row r="3108" spans="1:1" x14ac:dyDescent="0.25">
      <c r="A3108" s="19" t="s">
        <v>5695</v>
      </c>
    </row>
    <row r="3109" spans="1:1" x14ac:dyDescent="0.25">
      <c r="A3109" s="19" t="s">
        <v>5696</v>
      </c>
    </row>
    <row r="3110" spans="1:1" x14ac:dyDescent="0.25">
      <c r="A3110" s="19" t="s">
        <v>5697</v>
      </c>
    </row>
    <row r="3111" spans="1:1" x14ac:dyDescent="0.25">
      <c r="A3111" s="19" t="s">
        <v>5698</v>
      </c>
    </row>
    <row r="3112" spans="1:1" x14ac:dyDescent="0.25">
      <c r="A3112" s="19" t="s">
        <v>5699</v>
      </c>
    </row>
    <row r="3113" spans="1:1" x14ac:dyDescent="0.25">
      <c r="A3113" s="19" t="s">
        <v>5700</v>
      </c>
    </row>
    <row r="3114" spans="1:1" x14ac:dyDescent="0.25">
      <c r="A3114" s="19" t="s">
        <v>5701</v>
      </c>
    </row>
    <row r="3115" spans="1:1" x14ac:dyDescent="0.25">
      <c r="A3115" s="19" t="s">
        <v>5702</v>
      </c>
    </row>
    <row r="3116" spans="1:1" x14ac:dyDescent="0.25">
      <c r="A3116" s="19" t="s">
        <v>5703</v>
      </c>
    </row>
    <row r="3117" spans="1:1" x14ac:dyDescent="0.25">
      <c r="A3117" s="19" t="s">
        <v>5704</v>
      </c>
    </row>
    <row r="3118" spans="1:1" x14ac:dyDescent="0.25">
      <c r="A3118" s="19" t="s">
        <v>5705</v>
      </c>
    </row>
    <row r="3119" spans="1:1" x14ac:dyDescent="0.25">
      <c r="A3119" s="19" t="s">
        <v>5706</v>
      </c>
    </row>
    <row r="3120" spans="1:1" x14ac:dyDescent="0.25">
      <c r="A3120" s="19" t="s">
        <v>5707</v>
      </c>
    </row>
    <row r="3121" spans="1:1" x14ac:dyDescent="0.25">
      <c r="A3121" s="19" t="s">
        <v>5708</v>
      </c>
    </row>
    <row r="3122" spans="1:1" x14ac:dyDescent="0.25">
      <c r="A3122" s="19" t="s">
        <v>5709</v>
      </c>
    </row>
    <row r="3123" spans="1:1" x14ac:dyDescent="0.25">
      <c r="A3123" s="19" t="s">
        <v>5710</v>
      </c>
    </row>
    <row r="3124" spans="1:1" x14ac:dyDescent="0.25">
      <c r="A3124" s="19" t="s">
        <v>5711</v>
      </c>
    </row>
    <row r="3125" spans="1:1" x14ac:dyDescent="0.25">
      <c r="A3125" s="19" t="s">
        <v>5712</v>
      </c>
    </row>
    <row r="3126" spans="1:1" x14ac:dyDescent="0.25">
      <c r="A3126" s="19" t="s">
        <v>5713</v>
      </c>
    </row>
    <row r="3127" spans="1:1" x14ac:dyDescent="0.25">
      <c r="A3127" s="19" t="s">
        <v>5714</v>
      </c>
    </row>
    <row r="3128" spans="1:1" x14ac:dyDescent="0.25">
      <c r="A3128" s="19" t="s">
        <v>5715</v>
      </c>
    </row>
    <row r="3129" spans="1:1" x14ac:dyDescent="0.25">
      <c r="A3129" s="19" t="s">
        <v>5716</v>
      </c>
    </row>
    <row r="3130" spans="1:1" x14ac:dyDescent="0.25">
      <c r="A3130" s="19" t="s">
        <v>5717</v>
      </c>
    </row>
    <row r="3131" spans="1:1" x14ac:dyDescent="0.25">
      <c r="A3131" s="19" t="s">
        <v>5718</v>
      </c>
    </row>
    <row r="3132" spans="1:1" x14ac:dyDescent="0.25">
      <c r="A3132" s="19" t="s">
        <v>5719</v>
      </c>
    </row>
    <row r="3133" spans="1:1" x14ac:dyDescent="0.25">
      <c r="A3133" s="19" t="s">
        <v>5720</v>
      </c>
    </row>
    <row r="3134" spans="1:1" x14ac:dyDescent="0.25">
      <c r="A3134" s="19" t="s">
        <v>5721</v>
      </c>
    </row>
    <row r="3135" spans="1:1" x14ac:dyDescent="0.25">
      <c r="A3135" s="19" t="s">
        <v>5722</v>
      </c>
    </row>
    <row r="3136" spans="1:1" x14ac:dyDescent="0.25">
      <c r="A3136" s="19" t="s">
        <v>5723</v>
      </c>
    </row>
    <row r="3137" spans="1:1" x14ac:dyDescent="0.25">
      <c r="A3137" s="19" t="s">
        <v>5724</v>
      </c>
    </row>
    <row r="3138" spans="1:1" x14ac:dyDescent="0.25">
      <c r="A3138" s="19" t="s">
        <v>5725</v>
      </c>
    </row>
    <row r="3139" spans="1:1" x14ac:dyDescent="0.25">
      <c r="A3139" s="19" t="s">
        <v>5726</v>
      </c>
    </row>
    <row r="3140" spans="1:1" x14ac:dyDescent="0.25">
      <c r="A3140" s="19" t="s">
        <v>5727</v>
      </c>
    </row>
    <row r="3141" spans="1:1" x14ac:dyDescent="0.25">
      <c r="A3141" s="19" t="s">
        <v>5728</v>
      </c>
    </row>
    <row r="3142" spans="1:1" x14ac:dyDescent="0.25">
      <c r="A3142" s="19" t="s">
        <v>5729</v>
      </c>
    </row>
    <row r="3143" spans="1:1" x14ac:dyDescent="0.25">
      <c r="A3143" s="19" t="s">
        <v>5730</v>
      </c>
    </row>
    <row r="3144" spans="1:1" x14ac:dyDescent="0.25">
      <c r="A3144" s="19" t="s">
        <v>5731</v>
      </c>
    </row>
    <row r="3145" spans="1:1" x14ac:dyDescent="0.25">
      <c r="A3145" s="19" t="s">
        <v>5732</v>
      </c>
    </row>
    <row r="3146" spans="1:1" x14ac:dyDescent="0.25">
      <c r="A3146" s="19" t="s">
        <v>5733</v>
      </c>
    </row>
    <row r="3147" spans="1:1" x14ac:dyDescent="0.25">
      <c r="A3147" s="19" t="s">
        <v>5734</v>
      </c>
    </row>
    <row r="3148" spans="1:1" x14ac:dyDescent="0.25">
      <c r="A3148" s="19" t="s">
        <v>5735</v>
      </c>
    </row>
    <row r="3149" spans="1:1" x14ac:dyDescent="0.25">
      <c r="A3149" s="19" t="s">
        <v>5736</v>
      </c>
    </row>
    <row r="3150" spans="1:1" x14ac:dyDescent="0.25">
      <c r="A3150" s="19" t="s">
        <v>5737</v>
      </c>
    </row>
    <row r="3151" spans="1:1" x14ac:dyDescent="0.25">
      <c r="A3151" s="19" t="s">
        <v>5738</v>
      </c>
    </row>
    <row r="3152" spans="1:1" x14ac:dyDescent="0.25">
      <c r="A3152" s="19" t="s">
        <v>5739</v>
      </c>
    </row>
    <row r="3153" spans="1:1" x14ac:dyDescent="0.25">
      <c r="A3153" s="19" t="s">
        <v>5740</v>
      </c>
    </row>
    <row r="3154" spans="1:1" x14ac:dyDescent="0.25">
      <c r="A3154" s="19" t="s">
        <v>5741</v>
      </c>
    </row>
    <row r="3155" spans="1:1" x14ac:dyDescent="0.25">
      <c r="A3155" s="19" t="s">
        <v>5742</v>
      </c>
    </row>
    <row r="3156" spans="1:1" x14ac:dyDescent="0.25">
      <c r="A3156" s="19" t="s">
        <v>5743</v>
      </c>
    </row>
    <row r="3157" spans="1:1" x14ac:dyDescent="0.25">
      <c r="A3157" s="19" t="s">
        <v>5744</v>
      </c>
    </row>
    <row r="3158" spans="1:1" x14ac:dyDescent="0.25">
      <c r="A3158" s="19" t="s">
        <v>5745</v>
      </c>
    </row>
    <row r="3159" spans="1:1" x14ac:dyDescent="0.25">
      <c r="A3159" s="19" t="s">
        <v>5746</v>
      </c>
    </row>
    <row r="3160" spans="1:1" x14ac:dyDescent="0.25">
      <c r="A3160" s="19" t="s">
        <v>5747</v>
      </c>
    </row>
    <row r="3161" spans="1:1" x14ac:dyDescent="0.25">
      <c r="A3161" s="19" t="s">
        <v>5748</v>
      </c>
    </row>
    <row r="3162" spans="1:1" x14ac:dyDescent="0.25">
      <c r="A3162" s="19" t="s">
        <v>5749</v>
      </c>
    </row>
    <row r="3163" spans="1:1" x14ac:dyDescent="0.25">
      <c r="A3163" s="19" t="s">
        <v>5750</v>
      </c>
    </row>
    <row r="3164" spans="1:1" x14ac:dyDescent="0.25">
      <c r="A3164" s="19" t="s">
        <v>5751</v>
      </c>
    </row>
    <row r="3165" spans="1:1" x14ac:dyDescent="0.25">
      <c r="A3165" s="19" t="s">
        <v>5752</v>
      </c>
    </row>
    <row r="3166" spans="1:1" x14ac:dyDescent="0.25">
      <c r="A3166" s="19" t="s">
        <v>5753</v>
      </c>
    </row>
    <row r="3167" spans="1:1" x14ac:dyDescent="0.25">
      <c r="A3167" s="19" t="s">
        <v>5754</v>
      </c>
    </row>
    <row r="3168" spans="1:1" x14ac:dyDescent="0.25">
      <c r="A3168" s="19" t="s">
        <v>5755</v>
      </c>
    </row>
    <row r="3169" spans="1:1" x14ac:dyDescent="0.25">
      <c r="A3169" s="19" t="s">
        <v>5756</v>
      </c>
    </row>
    <row r="3170" spans="1:1" x14ac:dyDescent="0.25">
      <c r="A3170" s="19" t="s">
        <v>5757</v>
      </c>
    </row>
    <row r="3171" spans="1:1" x14ac:dyDescent="0.25">
      <c r="A3171" s="19" t="s">
        <v>5758</v>
      </c>
    </row>
    <row r="3172" spans="1:1" x14ac:dyDescent="0.25">
      <c r="A3172" s="19" t="s">
        <v>5759</v>
      </c>
    </row>
    <row r="3173" spans="1:1" x14ac:dyDescent="0.25">
      <c r="A3173" s="19" t="s">
        <v>5760</v>
      </c>
    </row>
    <row r="3174" spans="1:1" x14ac:dyDescent="0.25">
      <c r="A3174" s="19" t="s">
        <v>5761</v>
      </c>
    </row>
    <row r="3175" spans="1:1" x14ac:dyDescent="0.25">
      <c r="A3175" s="19" t="s">
        <v>5762</v>
      </c>
    </row>
    <row r="3176" spans="1:1" x14ac:dyDescent="0.25">
      <c r="A3176" s="19" t="s">
        <v>5763</v>
      </c>
    </row>
    <row r="3177" spans="1:1" x14ac:dyDescent="0.25">
      <c r="A3177" s="19" t="s">
        <v>5764</v>
      </c>
    </row>
    <row r="3178" spans="1:1" x14ac:dyDescent="0.25">
      <c r="A3178" s="19" t="s">
        <v>5765</v>
      </c>
    </row>
    <row r="3179" spans="1:1" x14ac:dyDescent="0.25">
      <c r="A3179" s="19" t="s">
        <v>5766</v>
      </c>
    </row>
    <row r="3180" spans="1:1" x14ac:dyDescent="0.25">
      <c r="A3180" s="19" t="s">
        <v>5767</v>
      </c>
    </row>
    <row r="3181" spans="1:1" x14ac:dyDescent="0.25">
      <c r="A3181" s="19" t="s">
        <v>5768</v>
      </c>
    </row>
    <row r="3182" spans="1:1" x14ac:dyDescent="0.25">
      <c r="A3182" s="19" t="s">
        <v>5769</v>
      </c>
    </row>
    <row r="3183" spans="1:1" x14ac:dyDescent="0.25">
      <c r="A3183" s="19" t="s">
        <v>5770</v>
      </c>
    </row>
    <row r="3184" spans="1:1" x14ac:dyDescent="0.25">
      <c r="A3184" s="19" t="s">
        <v>5771</v>
      </c>
    </row>
    <row r="3185" spans="1:1" x14ac:dyDescent="0.25">
      <c r="A3185" s="19" t="s">
        <v>5772</v>
      </c>
    </row>
    <row r="3186" spans="1:1" x14ac:dyDescent="0.25">
      <c r="A3186" s="19" t="s">
        <v>5773</v>
      </c>
    </row>
    <row r="3187" spans="1:1" x14ac:dyDescent="0.25">
      <c r="A3187" s="19" t="s">
        <v>5774</v>
      </c>
    </row>
    <row r="3188" spans="1:1" x14ac:dyDescent="0.25">
      <c r="A3188" s="19" t="s">
        <v>5775</v>
      </c>
    </row>
    <row r="3189" spans="1:1" x14ac:dyDescent="0.25">
      <c r="A3189" s="19" t="s">
        <v>5776</v>
      </c>
    </row>
    <row r="3190" spans="1:1" x14ac:dyDescent="0.25">
      <c r="A3190" s="19" t="s">
        <v>5777</v>
      </c>
    </row>
    <row r="3191" spans="1:1" x14ac:dyDescent="0.25">
      <c r="A3191" s="19" t="s">
        <v>5778</v>
      </c>
    </row>
    <row r="3192" spans="1:1" x14ac:dyDescent="0.25">
      <c r="A3192" s="19" t="s">
        <v>5779</v>
      </c>
    </row>
    <row r="3193" spans="1:1" x14ac:dyDescent="0.25">
      <c r="A3193" s="19" t="s">
        <v>5780</v>
      </c>
    </row>
    <row r="3194" spans="1:1" x14ac:dyDescent="0.25">
      <c r="A3194" s="19" t="s">
        <v>5781</v>
      </c>
    </row>
    <row r="3195" spans="1:1" x14ac:dyDescent="0.25">
      <c r="A3195" s="19" t="s">
        <v>5782</v>
      </c>
    </row>
    <row r="3196" spans="1:1" x14ac:dyDescent="0.25">
      <c r="A3196" s="19" t="s">
        <v>5783</v>
      </c>
    </row>
    <row r="3197" spans="1:1" x14ac:dyDescent="0.25">
      <c r="A3197" s="19" t="s">
        <v>5784</v>
      </c>
    </row>
    <row r="3198" spans="1:1" x14ac:dyDescent="0.25">
      <c r="A3198" s="19" t="s">
        <v>5785</v>
      </c>
    </row>
    <row r="3199" spans="1:1" x14ac:dyDescent="0.25">
      <c r="A3199" s="19" t="s">
        <v>5786</v>
      </c>
    </row>
    <row r="3200" spans="1:1" x14ac:dyDescent="0.25">
      <c r="A3200" s="19" t="s">
        <v>5787</v>
      </c>
    </row>
    <row r="3201" spans="1:1" x14ac:dyDescent="0.25">
      <c r="A3201" s="19" t="s">
        <v>5788</v>
      </c>
    </row>
    <row r="3202" spans="1:1" x14ac:dyDescent="0.25">
      <c r="A3202" s="19" t="s">
        <v>5789</v>
      </c>
    </row>
    <row r="3203" spans="1:1" x14ac:dyDescent="0.25">
      <c r="A3203" s="19" t="s">
        <v>5790</v>
      </c>
    </row>
    <row r="3204" spans="1:1" x14ac:dyDescent="0.25">
      <c r="A3204" s="19" t="s">
        <v>5791</v>
      </c>
    </row>
    <row r="3205" spans="1:1" x14ac:dyDescent="0.25">
      <c r="A3205" s="19" t="s">
        <v>5792</v>
      </c>
    </row>
    <row r="3206" spans="1:1" x14ac:dyDescent="0.25">
      <c r="A3206" s="19" t="s">
        <v>5793</v>
      </c>
    </row>
    <row r="3207" spans="1:1" x14ac:dyDescent="0.25">
      <c r="A3207" s="19" t="s">
        <v>5794</v>
      </c>
    </row>
    <row r="3208" spans="1:1" x14ac:dyDescent="0.25">
      <c r="A3208" s="19" t="s">
        <v>5795</v>
      </c>
    </row>
    <row r="3209" spans="1:1" x14ac:dyDescent="0.25">
      <c r="A3209" s="19" t="s">
        <v>5796</v>
      </c>
    </row>
    <row r="3210" spans="1:1" x14ac:dyDescent="0.25">
      <c r="A3210" s="19" t="s">
        <v>5797</v>
      </c>
    </row>
    <row r="3211" spans="1:1" x14ac:dyDescent="0.25">
      <c r="A3211" s="19" t="s">
        <v>5798</v>
      </c>
    </row>
    <row r="3212" spans="1:1" x14ac:dyDescent="0.25">
      <c r="A3212" s="19" t="s">
        <v>5799</v>
      </c>
    </row>
    <row r="3213" spans="1:1" x14ac:dyDescent="0.25">
      <c r="A3213" s="19" t="s">
        <v>5800</v>
      </c>
    </row>
    <row r="3214" spans="1:1" x14ac:dyDescent="0.25">
      <c r="A3214" s="19" t="s">
        <v>5801</v>
      </c>
    </row>
    <row r="3215" spans="1:1" x14ac:dyDescent="0.25">
      <c r="A3215" s="19" t="s">
        <v>5802</v>
      </c>
    </row>
    <row r="3216" spans="1:1" x14ac:dyDescent="0.25">
      <c r="A3216" s="19" t="s">
        <v>5803</v>
      </c>
    </row>
    <row r="3217" spans="1:1" x14ac:dyDescent="0.25">
      <c r="A3217" s="19" t="s">
        <v>5804</v>
      </c>
    </row>
    <row r="3218" spans="1:1" x14ac:dyDescent="0.25">
      <c r="A3218" s="19" t="s">
        <v>5805</v>
      </c>
    </row>
    <row r="3219" spans="1:1" x14ac:dyDescent="0.25">
      <c r="A3219" s="19" t="s">
        <v>5806</v>
      </c>
    </row>
    <row r="3220" spans="1:1" x14ac:dyDescent="0.25">
      <c r="A3220" s="19" t="s">
        <v>5807</v>
      </c>
    </row>
    <row r="3221" spans="1:1" x14ac:dyDescent="0.25">
      <c r="A3221" s="19" t="s">
        <v>5808</v>
      </c>
    </row>
    <row r="3222" spans="1:1" x14ac:dyDescent="0.25">
      <c r="A3222" s="19" t="s">
        <v>5809</v>
      </c>
    </row>
    <row r="3223" spans="1:1" x14ac:dyDescent="0.25">
      <c r="A3223" s="19" t="s">
        <v>5810</v>
      </c>
    </row>
    <row r="3224" spans="1:1" x14ac:dyDescent="0.25">
      <c r="A3224" s="19" t="s">
        <v>5811</v>
      </c>
    </row>
    <row r="3225" spans="1:1" x14ac:dyDescent="0.25">
      <c r="A3225" s="19" t="s">
        <v>5812</v>
      </c>
    </row>
    <row r="3226" spans="1:1" x14ac:dyDescent="0.25">
      <c r="A3226" s="19" t="s">
        <v>5813</v>
      </c>
    </row>
    <row r="3227" spans="1:1" x14ac:dyDescent="0.25">
      <c r="A3227" s="19" t="s">
        <v>5814</v>
      </c>
    </row>
    <row r="3228" spans="1:1" x14ac:dyDescent="0.25">
      <c r="A3228" s="19" t="s">
        <v>5815</v>
      </c>
    </row>
    <row r="3229" spans="1:1" x14ac:dyDescent="0.25">
      <c r="A3229" s="19" t="s">
        <v>5816</v>
      </c>
    </row>
    <row r="3230" spans="1:1" x14ac:dyDescent="0.25">
      <c r="A3230" s="19" t="s">
        <v>5817</v>
      </c>
    </row>
    <row r="3231" spans="1:1" x14ac:dyDescent="0.25">
      <c r="A3231" s="19" t="s">
        <v>5818</v>
      </c>
    </row>
    <row r="3232" spans="1:1" x14ac:dyDescent="0.25">
      <c r="A3232" s="19" t="s">
        <v>5819</v>
      </c>
    </row>
    <row r="3233" spans="1:1" x14ac:dyDescent="0.25">
      <c r="A3233" s="19" t="s">
        <v>5820</v>
      </c>
    </row>
    <row r="3234" spans="1:1" x14ac:dyDescent="0.25">
      <c r="A3234" s="19" t="s">
        <v>5821</v>
      </c>
    </row>
    <row r="3235" spans="1:1" x14ac:dyDescent="0.25">
      <c r="A3235" s="19" t="s">
        <v>5822</v>
      </c>
    </row>
    <row r="3236" spans="1:1" x14ac:dyDescent="0.25">
      <c r="A3236" s="19" t="s">
        <v>5823</v>
      </c>
    </row>
    <row r="3237" spans="1:1" x14ac:dyDescent="0.25">
      <c r="A3237" s="19" t="s">
        <v>5824</v>
      </c>
    </row>
    <row r="3238" spans="1:1" x14ac:dyDescent="0.25">
      <c r="A3238" s="19" t="s">
        <v>5825</v>
      </c>
    </row>
    <row r="3239" spans="1:1" x14ac:dyDescent="0.25">
      <c r="A3239" s="19" t="s">
        <v>5826</v>
      </c>
    </row>
    <row r="3240" spans="1:1" x14ac:dyDescent="0.25">
      <c r="A3240" s="19" t="s">
        <v>5827</v>
      </c>
    </row>
    <row r="3241" spans="1:1" x14ac:dyDescent="0.25">
      <c r="A3241" s="19" t="s">
        <v>5828</v>
      </c>
    </row>
    <row r="3242" spans="1:1" x14ac:dyDescent="0.25">
      <c r="A3242" s="19" t="s">
        <v>5829</v>
      </c>
    </row>
    <row r="3243" spans="1:1" x14ac:dyDescent="0.25">
      <c r="A3243" s="19" t="s">
        <v>5830</v>
      </c>
    </row>
    <row r="3244" spans="1:1" x14ac:dyDescent="0.25">
      <c r="A3244" s="19" t="s">
        <v>5831</v>
      </c>
    </row>
    <row r="3245" spans="1:1" x14ac:dyDescent="0.25">
      <c r="A3245" s="19" t="s">
        <v>5832</v>
      </c>
    </row>
    <row r="3246" spans="1:1" x14ac:dyDescent="0.25">
      <c r="A3246" s="19" t="s">
        <v>5833</v>
      </c>
    </row>
    <row r="3247" spans="1:1" x14ac:dyDescent="0.25">
      <c r="A3247" s="19" t="s">
        <v>5834</v>
      </c>
    </row>
    <row r="3248" spans="1:1" x14ac:dyDescent="0.25">
      <c r="A3248" s="19" t="s">
        <v>5835</v>
      </c>
    </row>
    <row r="3249" spans="1:1" x14ac:dyDescent="0.25">
      <c r="A3249" s="19" t="s">
        <v>5836</v>
      </c>
    </row>
    <row r="3250" spans="1:1" x14ac:dyDescent="0.25">
      <c r="A3250" s="19" t="s">
        <v>5837</v>
      </c>
    </row>
    <row r="3251" spans="1:1" x14ac:dyDescent="0.25">
      <c r="A3251" s="19" t="s">
        <v>5838</v>
      </c>
    </row>
    <row r="3252" spans="1:1" x14ac:dyDescent="0.25">
      <c r="A3252" s="19" t="s">
        <v>5839</v>
      </c>
    </row>
    <row r="3253" spans="1:1" x14ac:dyDescent="0.25">
      <c r="A3253" s="19" t="s">
        <v>5840</v>
      </c>
    </row>
    <row r="3254" spans="1:1" x14ac:dyDescent="0.25">
      <c r="A3254" s="19" t="s">
        <v>5840</v>
      </c>
    </row>
    <row r="3255" spans="1:1" x14ac:dyDescent="0.25">
      <c r="A3255" s="19" t="s">
        <v>5841</v>
      </c>
    </row>
    <row r="3256" spans="1:1" x14ac:dyDescent="0.25">
      <c r="A3256" s="19" t="s">
        <v>5842</v>
      </c>
    </row>
    <row r="3257" spans="1:1" x14ac:dyDescent="0.25">
      <c r="A3257" s="19" t="s">
        <v>5843</v>
      </c>
    </row>
    <row r="3258" spans="1:1" x14ac:dyDescent="0.25">
      <c r="A3258" s="19" t="s">
        <v>5844</v>
      </c>
    </row>
    <row r="3259" spans="1:1" x14ac:dyDescent="0.25">
      <c r="A3259" s="19" t="s">
        <v>5845</v>
      </c>
    </row>
    <row r="3260" spans="1:1" x14ac:dyDescent="0.25">
      <c r="A3260" s="19" t="s">
        <v>5846</v>
      </c>
    </row>
    <row r="3261" spans="1:1" x14ac:dyDescent="0.25">
      <c r="A3261" s="19" t="s">
        <v>5847</v>
      </c>
    </row>
    <row r="3262" spans="1:1" x14ac:dyDescent="0.25">
      <c r="A3262" s="19" t="s">
        <v>5848</v>
      </c>
    </row>
    <row r="3263" spans="1:1" x14ac:dyDescent="0.25">
      <c r="A3263" s="19" t="s">
        <v>5849</v>
      </c>
    </row>
    <row r="3264" spans="1:1" x14ac:dyDescent="0.25">
      <c r="A3264" s="19" t="s">
        <v>5850</v>
      </c>
    </row>
    <row r="3265" spans="1:1" x14ac:dyDescent="0.25">
      <c r="A3265" s="19" t="s">
        <v>5851</v>
      </c>
    </row>
    <row r="3266" spans="1:1" x14ac:dyDescent="0.25">
      <c r="A3266" s="19" t="s">
        <v>5852</v>
      </c>
    </row>
    <row r="3267" spans="1:1" x14ac:dyDescent="0.25">
      <c r="A3267" s="19" t="s">
        <v>5853</v>
      </c>
    </row>
    <row r="3268" spans="1:1" x14ac:dyDescent="0.25">
      <c r="A3268" s="19" t="s">
        <v>5854</v>
      </c>
    </row>
    <row r="3269" spans="1:1" x14ac:dyDescent="0.25">
      <c r="A3269" s="19" t="s">
        <v>5855</v>
      </c>
    </row>
    <row r="3270" spans="1:1" x14ac:dyDescent="0.25">
      <c r="A3270" s="19" t="s">
        <v>5856</v>
      </c>
    </row>
    <row r="3271" spans="1:1" x14ac:dyDescent="0.25">
      <c r="A3271" s="19" t="s">
        <v>5857</v>
      </c>
    </row>
    <row r="3272" spans="1:1" x14ac:dyDescent="0.25">
      <c r="A3272" s="19" t="s">
        <v>5858</v>
      </c>
    </row>
    <row r="3273" spans="1:1" x14ac:dyDescent="0.25">
      <c r="A3273" s="19" t="s">
        <v>5859</v>
      </c>
    </row>
    <row r="3274" spans="1:1" x14ac:dyDescent="0.25">
      <c r="A3274" s="19" t="s">
        <v>5860</v>
      </c>
    </row>
    <row r="3275" spans="1:1" x14ac:dyDescent="0.25">
      <c r="A3275" s="19" t="s">
        <v>5861</v>
      </c>
    </row>
    <row r="3276" spans="1:1" x14ac:dyDescent="0.25">
      <c r="A3276" s="19" t="s">
        <v>5862</v>
      </c>
    </row>
    <row r="3277" spans="1:1" x14ac:dyDescent="0.25">
      <c r="A3277" s="19" t="s">
        <v>5863</v>
      </c>
    </row>
    <row r="3278" spans="1:1" x14ac:dyDescent="0.25">
      <c r="A3278" s="19" t="s">
        <v>5864</v>
      </c>
    </row>
    <row r="3279" spans="1:1" x14ac:dyDescent="0.25">
      <c r="A3279" s="19" t="s">
        <v>5865</v>
      </c>
    </row>
    <row r="3280" spans="1:1" x14ac:dyDescent="0.25">
      <c r="A3280" s="19" t="s">
        <v>5866</v>
      </c>
    </row>
    <row r="3281" spans="1:1" x14ac:dyDescent="0.25">
      <c r="A3281" s="19" t="s">
        <v>5867</v>
      </c>
    </row>
    <row r="3282" spans="1:1" x14ac:dyDescent="0.25">
      <c r="A3282" s="19" t="s">
        <v>5868</v>
      </c>
    </row>
    <row r="3283" spans="1:1" x14ac:dyDescent="0.25">
      <c r="A3283" s="19" t="s">
        <v>5869</v>
      </c>
    </row>
    <row r="3284" spans="1:1" x14ac:dyDescent="0.25">
      <c r="A3284" s="19" t="s">
        <v>5870</v>
      </c>
    </row>
    <row r="3285" spans="1:1" x14ac:dyDescent="0.25">
      <c r="A3285" s="19" t="s">
        <v>5871</v>
      </c>
    </row>
    <row r="3286" spans="1:1" x14ac:dyDescent="0.25">
      <c r="A3286" s="19" t="s">
        <v>5872</v>
      </c>
    </row>
    <row r="3287" spans="1:1" x14ac:dyDescent="0.25">
      <c r="A3287" s="19" t="s">
        <v>5873</v>
      </c>
    </row>
    <row r="3288" spans="1:1" x14ac:dyDescent="0.25">
      <c r="A3288" s="19" t="s">
        <v>5874</v>
      </c>
    </row>
    <row r="3289" spans="1:1" x14ac:dyDescent="0.25">
      <c r="A3289" s="19" t="s">
        <v>5875</v>
      </c>
    </row>
    <row r="3290" spans="1:1" x14ac:dyDescent="0.25">
      <c r="A3290" s="19" t="s">
        <v>5876</v>
      </c>
    </row>
    <row r="3291" spans="1:1" x14ac:dyDescent="0.25">
      <c r="A3291" s="19" t="s">
        <v>5877</v>
      </c>
    </row>
    <row r="3292" spans="1:1" x14ac:dyDescent="0.25">
      <c r="A3292" s="19" t="s">
        <v>5878</v>
      </c>
    </row>
    <row r="3293" spans="1:1" x14ac:dyDescent="0.25">
      <c r="A3293" s="19" t="s">
        <v>5879</v>
      </c>
    </row>
    <row r="3294" spans="1:1" x14ac:dyDescent="0.25">
      <c r="A3294" s="19" t="s">
        <v>5880</v>
      </c>
    </row>
    <row r="3295" spans="1:1" x14ac:dyDescent="0.25">
      <c r="A3295" s="19" t="s">
        <v>5881</v>
      </c>
    </row>
    <row r="3296" spans="1:1" x14ac:dyDescent="0.25">
      <c r="A3296" s="19" t="s">
        <v>5882</v>
      </c>
    </row>
    <row r="3297" spans="1:1" x14ac:dyDescent="0.25">
      <c r="A3297" s="19" t="s">
        <v>5883</v>
      </c>
    </row>
    <row r="3298" spans="1:1" x14ac:dyDescent="0.25">
      <c r="A3298" s="19" t="s">
        <v>5884</v>
      </c>
    </row>
    <row r="3299" spans="1:1" x14ac:dyDescent="0.25">
      <c r="A3299" s="19" t="s">
        <v>5885</v>
      </c>
    </row>
    <row r="3300" spans="1:1" x14ac:dyDescent="0.25">
      <c r="A3300" s="19" t="s">
        <v>5886</v>
      </c>
    </row>
    <row r="3301" spans="1:1" x14ac:dyDescent="0.25">
      <c r="A3301" s="19" t="s">
        <v>5887</v>
      </c>
    </row>
    <row r="3302" spans="1:1" x14ac:dyDescent="0.25">
      <c r="A3302" s="19" t="s">
        <v>5888</v>
      </c>
    </row>
    <row r="3303" spans="1:1" x14ac:dyDescent="0.25">
      <c r="A3303" s="19" t="s">
        <v>5889</v>
      </c>
    </row>
    <row r="3304" spans="1:1" x14ac:dyDescent="0.25">
      <c r="A3304" s="19" t="s">
        <v>5890</v>
      </c>
    </row>
    <row r="3305" spans="1:1" x14ac:dyDescent="0.25">
      <c r="A3305" s="19" t="s">
        <v>5891</v>
      </c>
    </row>
    <row r="3306" spans="1:1" x14ac:dyDescent="0.25">
      <c r="A3306" s="19" t="s">
        <v>5892</v>
      </c>
    </row>
    <row r="3307" spans="1:1" x14ac:dyDescent="0.25">
      <c r="A3307" s="19" t="s">
        <v>5893</v>
      </c>
    </row>
    <row r="3308" spans="1:1" x14ac:dyDescent="0.25">
      <c r="A3308" s="19" t="s">
        <v>5894</v>
      </c>
    </row>
    <row r="3309" spans="1:1" x14ac:dyDescent="0.25">
      <c r="A3309" s="19" t="s">
        <v>5895</v>
      </c>
    </row>
    <row r="3310" spans="1:1" x14ac:dyDescent="0.25">
      <c r="A3310" s="19" t="s">
        <v>5896</v>
      </c>
    </row>
    <row r="3311" spans="1:1" x14ac:dyDescent="0.25">
      <c r="A3311" s="19" t="s">
        <v>5897</v>
      </c>
    </row>
    <row r="3312" spans="1:1" x14ac:dyDescent="0.25">
      <c r="A3312" s="19" t="s">
        <v>5898</v>
      </c>
    </row>
    <row r="3313" spans="1:1" x14ac:dyDescent="0.25">
      <c r="A3313" s="19" t="s">
        <v>5899</v>
      </c>
    </row>
    <row r="3314" spans="1:1" x14ac:dyDescent="0.25">
      <c r="A3314" s="19" t="s">
        <v>5900</v>
      </c>
    </row>
    <row r="3315" spans="1:1" x14ac:dyDescent="0.25">
      <c r="A3315" s="19" t="s">
        <v>5901</v>
      </c>
    </row>
    <row r="3316" spans="1:1" x14ac:dyDescent="0.25">
      <c r="A3316" s="19" t="s">
        <v>5902</v>
      </c>
    </row>
    <row r="3317" spans="1:1" x14ac:dyDescent="0.25">
      <c r="A3317" s="19" t="s">
        <v>5903</v>
      </c>
    </row>
    <row r="3318" spans="1:1" x14ac:dyDescent="0.25">
      <c r="A3318" s="19" t="s">
        <v>5904</v>
      </c>
    </row>
    <row r="3319" spans="1:1" x14ac:dyDescent="0.25">
      <c r="A3319" s="19" t="s">
        <v>5905</v>
      </c>
    </row>
    <row r="3320" spans="1:1" x14ac:dyDescent="0.25">
      <c r="A3320" s="19" t="s">
        <v>5906</v>
      </c>
    </row>
    <row r="3321" spans="1:1" x14ac:dyDescent="0.25">
      <c r="A3321" s="19" t="s">
        <v>5907</v>
      </c>
    </row>
    <row r="3322" spans="1:1" x14ac:dyDescent="0.25">
      <c r="A3322" s="19" t="s">
        <v>5908</v>
      </c>
    </row>
    <row r="3323" spans="1:1" x14ac:dyDescent="0.25">
      <c r="A3323" s="19" t="s">
        <v>5909</v>
      </c>
    </row>
    <row r="3324" spans="1:1" x14ac:dyDescent="0.25">
      <c r="A3324" s="19" t="s">
        <v>5910</v>
      </c>
    </row>
    <row r="3325" spans="1:1" x14ac:dyDescent="0.25">
      <c r="A3325" s="19" t="s">
        <v>5911</v>
      </c>
    </row>
    <row r="3326" spans="1:1" x14ac:dyDescent="0.25">
      <c r="A3326" s="19" t="s">
        <v>5912</v>
      </c>
    </row>
    <row r="3327" spans="1:1" x14ac:dyDescent="0.25">
      <c r="A3327" s="19" t="s">
        <v>5913</v>
      </c>
    </row>
    <row r="3328" spans="1:1" x14ac:dyDescent="0.25">
      <c r="A3328" s="19" t="s">
        <v>5914</v>
      </c>
    </row>
    <row r="3329" spans="1:1" x14ac:dyDescent="0.25">
      <c r="A3329" s="19" t="s">
        <v>5915</v>
      </c>
    </row>
    <row r="3330" spans="1:1" x14ac:dyDescent="0.25">
      <c r="A3330" s="19" t="s">
        <v>5916</v>
      </c>
    </row>
    <row r="3331" spans="1:1" x14ac:dyDescent="0.25">
      <c r="A3331" s="19" t="s">
        <v>5917</v>
      </c>
    </row>
    <row r="3332" spans="1:1" x14ac:dyDescent="0.25">
      <c r="A3332" s="19" t="s">
        <v>5918</v>
      </c>
    </row>
    <row r="3333" spans="1:1" x14ac:dyDescent="0.25">
      <c r="A3333" s="19" t="s">
        <v>5919</v>
      </c>
    </row>
    <row r="3334" spans="1:1" x14ac:dyDescent="0.25">
      <c r="A3334" s="19" t="s">
        <v>5920</v>
      </c>
    </row>
    <row r="3335" spans="1:1" x14ac:dyDescent="0.25">
      <c r="A3335" s="19" t="s">
        <v>5921</v>
      </c>
    </row>
    <row r="3336" spans="1:1" x14ac:dyDescent="0.25">
      <c r="A3336" s="19" t="s">
        <v>5922</v>
      </c>
    </row>
    <row r="3337" spans="1:1" x14ac:dyDescent="0.25">
      <c r="A3337" s="19" t="s">
        <v>5923</v>
      </c>
    </row>
    <row r="3338" spans="1:1" x14ac:dyDescent="0.25">
      <c r="A3338" s="19" t="s">
        <v>5924</v>
      </c>
    </row>
    <row r="3339" spans="1:1" x14ac:dyDescent="0.25">
      <c r="A3339" s="19" t="s">
        <v>5925</v>
      </c>
    </row>
    <row r="3340" spans="1:1" x14ac:dyDescent="0.25">
      <c r="A3340" s="19" t="s">
        <v>5926</v>
      </c>
    </row>
    <row r="3341" spans="1:1" x14ac:dyDescent="0.25">
      <c r="A3341" s="19" t="s">
        <v>5927</v>
      </c>
    </row>
    <row r="3342" spans="1:1" x14ac:dyDescent="0.25">
      <c r="A3342" s="19" t="s">
        <v>5928</v>
      </c>
    </row>
    <row r="3343" spans="1:1" x14ac:dyDescent="0.25">
      <c r="A3343" s="19" t="s">
        <v>5929</v>
      </c>
    </row>
    <row r="3344" spans="1:1" x14ac:dyDescent="0.25">
      <c r="A3344" s="19" t="s">
        <v>5930</v>
      </c>
    </row>
    <row r="3345" spans="1:1" x14ac:dyDescent="0.25">
      <c r="A3345" s="19" t="s">
        <v>5931</v>
      </c>
    </row>
    <row r="3346" spans="1:1" x14ac:dyDescent="0.25">
      <c r="A3346" s="19" t="s">
        <v>5932</v>
      </c>
    </row>
    <row r="3347" spans="1:1" x14ac:dyDescent="0.25">
      <c r="A3347" s="19" t="s">
        <v>5933</v>
      </c>
    </row>
    <row r="3348" spans="1:1" x14ac:dyDescent="0.25">
      <c r="A3348" s="19" t="s">
        <v>5934</v>
      </c>
    </row>
    <row r="3349" spans="1:1" x14ac:dyDescent="0.25">
      <c r="A3349" s="19" t="s">
        <v>5935</v>
      </c>
    </row>
    <row r="3350" spans="1:1" x14ac:dyDescent="0.25">
      <c r="A3350" s="19" t="s">
        <v>5936</v>
      </c>
    </row>
    <row r="3351" spans="1:1" x14ac:dyDescent="0.25">
      <c r="A3351" s="19" t="s">
        <v>5937</v>
      </c>
    </row>
    <row r="3352" spans="1:1" x14ac:dyDescent="0.25">
      <c r="A3352" s="19" t="s">
        <v>5938</v>
      </c>
    </row>
    <row r="3353" spans="1:1" x14ac:dyDescent="0.25">
      <c r="A3353" s="19" t="s">
        <v>5939</v>
      </c>
    </row>
    <row r="3354" spans="1:1" x14ac:dyDescent="0.25">
      <c r="A3354" s="19" t="s">
        <v>5940</v>
      </c>
    </row>
    <row r="3355" spans="1:1" x14ac:dyDescent="0.25">
      <c r="A3355" s="19" t="s">
        <v>5941</v>
      </c>
    </row>
    <row r="3356" spans="1:1" x14ac:dyDescent="0.25">
      <c r="A3356" s="19" t="s">
        <v>5942</v>
      </c>
    </row>
    <row r="3357" spans="1:1" x14ac:dyDescent="0.25">
      <c r="A3357" s="19" t="s">
        <v>5943</v>
      </c>
    </row>
    <row r="3358" spans="1:1" x14ac:dyDescent="0.25">
      <c r="A3358" s="19" t="s">
        <v>5944</v>
      </c>
    </row>
    <row r="3359" spans="1:1" x14ac:dyDescent="0.25">
      <c r="A3359" s="19" t="s">
        <v>5945</v>
      </c>
    </row>
    <row r="3360" spans="1:1" x14ac:dyDescent="0.25">
      <c r="A3360" s="19" t="s">
        <v>5946</v>
      </c>
    </row>
    <row r="3361" spans="1:1" x14ac:dyDescent="0.25">
      <c r="A3361" s="19" t="s">
        <v>5947</v>
      </c>
    </row>
    <row r="3362" spans="1:1" x14ac:dyDescent="0.25">
      <c r="A3362" s="19" t="s">
        <v>5948</v>
      </c>
    </row>
    <row r="3363" spans="1:1" x14ac:dyDescent="0.25">
      <c r="A3363" s="19" t="s">
        <v>5949</v>
      </c>
    </row>
    <row r="3364" spans="1:1" x14ac:dyDescent="0.25">
      <c r="A3364" s="19" t="s">
        <v>5950</v>
      </c>
    </row>
    <row r="3365" spans="1:1" x14ac:dyDescent="0.25">
      <c r="A3365" s="19" t="s">
        <v>5951</v>
      </c>
    </row>
    <row r="3366" spans="1:1" x14ac:dyDescent="0.25">
      <c r="A3366" s="19" t="s">
        <v>5952</v>
      </c>
    </row>
    <row r="3367" spans="1:1" x14ac:dyDescent="0.25">
      <c r="A3367" s="19" t="s">
        <v>5953</v>
      </c>
    </row>
    <row r="3368" spans="1:1" x14ac:dyDescent="0.25">
      <c r="A3368" s="19" t="s">
        <v>5954</v>
      </c>
    </row>
    <row r="3369" spans="1:1" x14ac:dyDescent="0.25">
      <c r="A3369" s="19" t="s">
        <v>5955</v>
      </c>
    </row>
    <row r="3370" spans="1:1" x14ac:dyDescent="0.25">
      <c r="A3370" s="19" t="s">
        <v>5956</v>
      </c>
    </row>
    <row r="3371" spans="1:1" x14ac:dyDescent="0.25">
      <c r="A3371" s="19" t="s">
        <v>5957</v>
      </c>
    </row>
    <row r="3372" spans="1:1" x14ac:dyDescent="0.25">
      <c r="A3372" s="19" t="s">
        <v>5958</v>
      </c>
    </row>
    <row r="3373" spans="1:1" x14ac:dyDescent="0.25">
      <c r="A3373" s="19" t="s">
        <v>5959</v>
      </c>
    </row>
    <row r="3374" spans="1:1" x14ac:dyDescent="0.25">
      <c r="A3374" s="19" t="s">
        <v>5960</v>
      </c>
    </row>
    <row r="3375" spans="1:1" x14ac:dyDescent="0.25">
      <c r="A3375" s="19" t="s">
        <v>5961</v>
      </c>
    </row>
    <row r="3376" spans="1:1" x14ac:dyDescent="0.25">
      <c r="A3376" s="19" t="s">
        <v>5962</v>
      </c>
    </row>
    <row r="3377" spans="1:1" x14ac:dyDescent="0.25">
      <c r="A3377" s="19" t="s">
        <v>5963</v>
      </c>
    </row>
    <row r="3378" spans="1:1" x14ac:dyDescent="0.25">
      <c r="A3378" s="19" t="s">
        <v>5964</v>
      </c>
    </row>
    <row r="3379" spans="1:1" x14ac:dyDescent="0.25">
      <c r="A3379" s="19" t="s">
        <v>5965</v>
      </c>
    </row>
    <row r="3380" spans="1:1" x14ac:dyDescent="0.25">
      <c r="A3380" s="19" t="s">
        <v>5965</v>
      </c>
    </row>
    <row r="3381" spans="1:1" x14ac:dyDescent="0.25">
      <c r="A3381" s="19" t="s">
        <v>5966</v>
      </c>
    </row>
    <row r="3382" spans="1:1" x14ac:dyDescent="0.25">
      <c r="A3382" s="19" t="s">
        <v>5967</v>
      </c>
    </row>
    <row r="3383" spans="1:1" x14ac:dyDescent="0.25">
      <c r="A3383" s="19" t="s">
        <v>5968</v>
      </c>
    </row>
    <row r="3384" spans="1:1" x14ac:dyDescent="0.25">
      <c r="A3384" s="19" t="s">
        <v>5969</v>
      </c>
    </row>
    <row r="3385" spans="1:1" x14ac:dyDescent="0.25">
      <c r="A3385" s="19" t="s">
        <v>5970</v>
      </c>
    </row>
    <row r="3386" spans="1:1" x14ac:dyDescent="0.25">
      <c r="A3386" s="19" t="s">
        <v>5971</v>
      </c>
    </row>
    <row r="3387" spans="1:1" x14ac:dyDescent="0.25">
      <c r="A3387" s="19" t="s">
        <v>5972</v>
      </c>
    </row>
    <row r="3388" spans="1:1" x14ac:dyDescent="0.25">
      <c r="A3388" s="19" t="s">
        <v>5973</v>
      </c>
    </row>
    <row r="3389" spans="1:1" x14ac:dyDescent="0.25">
      <c r="A3389" s="19" t="s">
        <v>5974</v>
      </c>
    </row>
    <row r="3390" spans="1:1" x14ac:dyDescent="0.25">
      <c r="A3390" s="19" t="s">
        <v>5975</v>
      </c>
    </row>
    <row r="3391" spans="1:1" x14ac:dyDescent="0.25">
      <c r="A3391" s="19" t="s">
        <v>5976</v>
      </c>
    </row>
    <row r="3392" spans="1:1" x14ac:dyDescent="0.25">
      <c r="A3392" s="19" t="s">
        <v>5977</v>
      </c>
    </row>
    <row r="3393" spans="1:1" x14ac:dyDescent="0.25">
      <c r="A3393" s="19" t="s">
        <v>5978</v>
      </c>
    </row>
    <row r="3394" spans="1:1" x14ac:dyDescent="0.25">
      <c r="A3394" s="19" t="s">
        <v>5979</v>
      </c>
    </row>
    <row r="3395" spans="1:1" x14ac:dyDescent="0.25">
      <c r="A3395" s="19" t="s">
        <v>5980</v>
      </c>
    </row>
    <row r="3396" spans="1:1" x14ac:dyDescent="0.25">
      <c r="A3396" s="19" t="s">
        <v>5981</v>
      </c>
    </row>
    <row r="3397" spans="1:1" x14ac:dyDescent="0.25">
      <c r="A3397" s="19" t="s">
        <v>5982</v>
      </c>
    </row>
    <row r="3398" spans="1:1" x14ac:dyDescent="0.25">
      <c r="A3398" s="19" t="s">
        <v>5983</v>
      </c>
    </row>
    <row r="3399" spans="1:1" x14ac:dyDescent="0.25">
      <c r="A3399" s="19" t="s">
        <v>5984</v>
      </c>
    </row>
    <row r="3400" spans="1:1" x14ac:dyDescent="0.25">
      <c r="A3400" s="19" t="s">
        <v>5985</v>
      </c>
    </row>
    <row r="3401" spans="1:1" x14ac:dyDescent="0.25">
      <c r="A3401" s="19" t="s">
        <v>5986</v>
      </c>
    </row>
    <row r="3402" spans="1:1" x14ac:dyDescent="0.25">
      <c r="A3402" s="19" t="s">
        <v>5987</v>
      </c>
    </row>
    <row r="3403" spans="1:1" x14ac:dyDescent="0.25">
      <c r="A3403" s="19" t="s">
        <v>5988</v>
      </c>
    </row>
    <row r="3404" spans="1:1" x14ac:dyDescent="0.25">
      <c r="A3404" s="19" t="s">
        <v>5989</v>
      </c>
    </row>
    <row r="3405" spans="1:1" x14ac:dyDescent="0.25">
      <c r="A3405" s="19" t="s">
        <v>5990</v>
      </c>
    </row>
    <row r="3406" spans="1:1" x14ac:dyDescent="0.25">
      <c r="A3406" s="19" t="s">
        <v>5991</v>
      </c>
    </row>
    <row r="3407" spans="1:1" x14ac:dyDescent="0.25">
      <c r="A3407" s="19" t="s">
        <v>5992</v>
      </c>
    </row>
    <row r="3408" spans="1:1" x14ac:dyDescent="0.25">
      <c r="A3408" s="19" t="s">
        <v>5993</v>
      </c>
    </row>
    <row r="3409" spans="1:1" x14ac:dyDescent="0.25">
      <c r="A3409" s="19" t="s">
        <v>5994</v>
      </c>
    </row>
    <row r="3410" spans="1:1" x14ac:dyDescent="0.25">
      <c r="A3410" s="19" t="s">
        <v>5995</v>
      </c>
    </row>
    <row r="3411" spans="1:1" x14ac:dyDescent="0.25">
      <c r="A3411" s="19" t="s">
        <v>5996</v>
      </c>
    </row>
    <row r="3412" spans="1:1" x14ac:dyDescent="0.25">
      <c r="A3412" s="19" t="s">
        <v>5997</v>
      </c>
    </row>
    <row r="3413" spans="1:1" x14ac:dyDescent="0.25">
      <c r="A3413" s="19" t="s">
        <v>5998</v>
      </c>
    </row>
    <row r="3414" spans="1:1" x14ac:dyDescent="0.25">
      <c r="A3414" s="19" t="s">
        <v>5999</v>
      </c>
    </row>
    <row r="3415" spans="1:1" x14ac:dyDescent="0.25">
      <c r="A3415" s="19" t="s">
        <v>6000</v>
      </c>
    </row>
    <row r="3416" spans="1:1" x14ac:dyDescent="0.25">
      <c r="A3416" s="19" t="s">
        <v>6001</v>
      </c>
    </row>
    <row r="3417" spans="1:1" x14ac:dyDescent="0.25">
      <c r="A3417" s="19" t="s">
        <v>6002</v>
      </c>
    </row>
    <row r="3418" spans="1:1" x14ac:dyDescent="0.25">
      <c r="A3418" s="19" t="s">
        <v>6003</v>
      </c>
    </row>
    <row r="3419" spans="1:1" x14ac:dyDescent="0.25">
      <c r="A3419" s="19" t="s">
        <v>6004</v>
      </c>
    </row>
    <row r="3420" spans="1:1" x14ac:dyDescent="0.25">
      <c r="A3420" s="19" t="s">
        <v>6005</v>
      </c>
    </row>
    <row r="3421" spans="1:1" x14ac:dyDescent="0.25">
      <c r="A3421" s="19" t="s">
        <v>6006</v>
      </c>
    </row>
    <row r="3422" spans="1:1" x14ac:dyDescent="0.25">
      <c r="A3422" s="19" t="s">
        <v>6007</v>
      </c>
    </row>
    <row r="3423" spans="1:1" x14ac:dyDescent="0.25">
      <c r="A3423" s="19" t="s">
        <v>6008</v>
      </c>
    </row>
    <row r="3424" spans="1:1" x14ac:dyDescent="0.25">
      <c r="A3424" s="19" t="s">
        <v>6009</v>
      </c>
    </row>
    <row r="3425" spans="1:1" x14ac:dyDescent="0.25">
      <c r="A3425" s="19" t="s">
        <v>6010</v>
      </c>
    </row>
    <row r="3426" spans="1:1" x14ac:dyDescent="0.25">
      <c r="A3426" s="19" t="s">
        <v>6011</v>
      </c>
    </row>
    <row r="3427" spans="1:1" x14ac:dyDescent="0.25">
      <c r="A3427" s="19" t="s">
        <v>6012</v>
      </c>
    </row>
    <row r="3428" spans="1:1" x14ac:dyDescent="0.25">
      <c r="A3428" s="19" t="s">
        <v>6013</v>
      </c>
    </row>
    <row r="3429" spans="1:1" x14ac:dyDescent="0.25">
      <c r="A3429" s="19" t="s">
        <v>6014</v>
      </c>
    </row>
    <row r="3430" spans="1:1" x14ac:dyDescent="0.25">
      <c r="A3430" s="19" t="s">
        <v>6015</v>
      </c>
    </row>
    <row r="3431" spans="1:1" x14ac:dyDescent="0.25">
      <c r="A3431" s="19" t="s">
        <v>6016</v>
      </c>
    </row>
    <row r="3432" spans="1:1" x14ac:dyDescent="0.25">
      <c r="A3432" s="19" t="s">
        <v>6017</v>
      </c>
    </row>
    <row r="3433" spans="1:1" x14ac:dyDescent="0.25">
      <c r="A3433" s="19" t="s">
        <v>6018</v>
      </c>
    </row>
    <row r="3434" spans="1:1" x14ac:dyDescent="0.25">
      <c r="A3434" s="19" t="s">
        <v>6019</v>
      </c>
    </row>
    <row r="3435" spans="1:1" x14ac:dyDescent="0.25">
      <c r="A3435" s="19" t="s">
        <v>6020</v>
      </c>
    </row>
    <row r="3436" spans="1:1" x14ac:dyDescent="0.25">
      <c r="A3436" s="19" t="s">
        <v>6021</v>
      </c>
    </row>
    <row r="3437" spans="1:1" x14ac:dyDescent="0.25">
      <c r="A3437" s="19" t="s">
        <v>6022</v>
      </c>
    </row>
    <row r="3438" spans="1:1" x14ac:dyDescent="0.25">
      <c r="A3438" s="19" t="s">
        <v>6023</v>
      </c>
    </row>
    <row r="3439" spans="1:1" x14ac:dyDescent="0.25">
      <c r="A3439" s="19" t="s">
        <v>6024</v>
      </c>
    </row>
    <row r="3440" spans="1:1" x14ac:dyDescent="0.25">
      <c r="A3440" s="19" t="s">
        <v>6025</v>
      </c>
    </row>
    <row r="3441" spans="1:1" x14ac:dyDescent="0.25">
      <c r="A3441" s="19" t="s">
        <v>6026</v>
      </c>
    </row>
    <row r="3442" spans="1:1" x14ac:dyDescent="0.25">
      <c r="A3442" s="19" t="s">
        <v>6027</v>
      </c>
    </row>
    <row r="3443" spans="1:1" x14ac:dyDescent="0.25">
      <c r="A3443" s="19" t="s">
        <v>6028</v>
      </c>
    </row>
    <row r="3444" spans="1:1" x14ac:dyDescent="0.25">
      <c r="A3444" s="19" t="s">
        <v>6029</v>
      </c>
    </row>
    <row r="3445" spans="1:1" x14ac:dyDescent="0.25">
      <c r="A3445" s="19" t="s">
        <v>6030</v>
      </c>
    </row>
    <row r="3446" spans="1:1" x14ac:dyDescent="0.25">
      <c r="A3446" s="19" t="s">
        <v>6031</v>
      </c>
    </row>
    <row r="3447" spans="1:1" x14ac:dyDescent="0.25">
      <c r="A3447" s="19" t="s">
        <v>6032</v>
      </c>
    </row>
    <row r="3448" spans="1:1" x14ac:dyDescent="0.25">
      <c r="A3448" s="19" t="s">
        <v>6033</v>
      </c>
    </row>
    <row r="3449" spans="1:1" x14ac:dyDescent="0.25">
      <c r="A3449" s="19" t="s">
        <v>6034</v>
      </c>
    </row>
    <row r="3450" spans="1:1" x14ac:dyDescent="0.25">
      <c r="A3450" s="19" t="s">
        <v>6035</v>
      </c>
    </row>
    <row r="3451" spans="1:1" x14ac:dyDescent="0.25">
      <c r="A3451" s="19" t="s">
        <v>6036</v>
      </c>
    </row>
    <row r="3452" spans="1:1" x14ac:dyDescent="0.25">
      <c r="A3452" s="19" t="s">
        <v>6037</v>
      </c>
    </row>
    <row r="3453" spans="1:1" x14ac:dyDescent="0.25">
      <c r="A3453" s="19" t="s">
        <v>6038</v>
      </c>
    </row>
    <row r="3454" spans="1:1" x14ac:dyDescent="0.25">
      <c r="A3454" s="19" t="s">
        <v>6039</v>
      </c>
    </row>
    <row r="3455" spans="1:1" x14ac:dyDescent="0.25">
      <c r="A3455" s="19" t="s">
        <v>6040</v>
      </c>
    </row>
    <row r="3456" spans="1:1" x14ac:dyDescent="0.25">
      <c r="A3456" s="19" t="s">
        <v>6041</v>
      </c>
    </row>
    <row r="3457" spans="1:1" x14ac:dyDescent="0.25">
      <c r="A3457" s="19" t="s">
        <v>6042</v>
      </c>
    </row>
    <row r="3458" spans="1:1" x14ac:dyDescent="0.25">
      <c r="A3458" s="19" t="s">
        <v>6043</v>
      </c>
    </row>
    <row r="3459" spans="1:1" x14ac:dyDescent="0.25">
      <c r="A3459" s="19" t="s">
        <v>6044</v>
      </c>
    </row>
    <row r="3460" spans="1:1" x14ac:dyDescent="0.25">
      <c r="A3460" s="19" t="s">
        <v>6045</v>
      </c>
    </row>
    <row r="3461" spans="1:1" x14ac:dyDescent="0.25">
      <c r="A3461" s="19" t="s">
        <v>6046</v>
      </c>
    </row>
    <row r="3462" spans="1:1" x14ac:dyDescent="0.25">
      <c r="A3462" s="19" t="s">
        <v>6047</v>
      </c>
    </row>
    <row r="3463" spans="1:1" x14ac:dyDescent="0.25">
      <c r="A3463" s="19" t="s">
        <v>6048</v>
      </c>
    </row>
    <row r="3464" spans="1:1" x14ac:dyDescent="0.25">
      <c r="A3464" s="19" t="s">
        <v>6049</v>
      </c>
    </row>
    <row r="3465" spans="1:1" x14ac:dyDescent="0.25">
      <c r="A3465" s="19" t="s">
        <v>6050</v>
      </c>
    </row>
    <row r="3466" spans="1:1" x14ac:dyDescent="0.25">
      <c r="A3466" s="19" t="s">
        <v>6051</v>
      </c>
    </row>
    <row r="3467" spans="1:1" x14ac:dyDescent="0.25">
      <c r="A3467" s="19" t="s">
        <v>6052</v>
      </c>
    </row>
    <row r="3468" spans="1:1" x14ac:dyDescent="0.25">
      <c r="A3468" s="19" t="s">
        <v>6053</v>
      </c>
    </row>
    <row r="3469" spans="1:1" x14ac:dyDescent="0.25">
      <c r="A3469" s="19" t="s">
        <v>6054</v>
      </c>
    </row>
    <row r="3470" spans="1:1" x14ac:dyDescent="0.25">
      <c r="A3470" s="19" t="s">
        <v>6055</v>
      </c>
    </row>
    <row r="3471" spans="1:1" x14ac:dyDescent="0.25">
      <c r="A3471" s="19" t="s">
        <v>6056</v>
      </c>
    </row>
    <row r="3472" spans="1:1" x14ac:dyDescent="0.25">
      <c r="A3472" s="19" t="s">
        <v>6057</v>
      </c>
    </row>
    <row r="3473" spans="1:1" x14ac:dyDescent="0.25">
      <c r="A3473" s="19" t="s">
        <v>6058</v>
      </c>
    </row>
    <row r="3474" spans="1:1" x14ac:dyDescent="0.25">
      <c r="A3474" s="19" t="s">
        <v>6059</v>
      </c>
    </row>
    <row r="3475" spans="1:1" x14ac:dyDescent="0.25">
      <c r="A3475" s="19" t="s">
        <v>6060</v>
      </c>
    </row>
    <row r="3476" spans="1:1" x14ac:dyDescent="0.25">
      <c r="A3476" s="19" t="s">
        <v>6061</v>
      </c>
    </row>
    <row r="3477" spans="1:1" x14ac:dyDescent="0.25">
      <c r="A3477" s="19" t="s">
        <v>6062</v>
      </c>
    </row>
    <row r="3478" spans="1:1" x14ac:dyDescent="0.25">
      <c r="A3478" s="19" t="s">
        <v>6063</v>
      </c>
    </row>
    <row r="3479" spans="1:1" x14ac:dyDescent="0.25">
      <c r="A3479" s="19" t="s">
        <v>6064</v>
      </c>
    </row>
    <row r="3480" spans="1:1" x14ac:dyDescent="0.25">
      <c r="A3480" s="19" t="s">
        <v>6065</v>
      </c>
    </row>
    <row r="3481" spans="1:1" x14ac:dyDescent="0.25">
      <c r="A3481" s="19" t="s">
        <v>6066</v>
      </c>
    </row>
    <row r="3482" spans="1:1" x14ac:dyDescent="0.25">
      <c r="A3482" s="19" t="s">
        <v>6067</v>
      </c>
    </row>
    <row r="3483" spans="1:1" x14ac:dyDescent="0.25">
      <c r="A3483" s="19" t="s">
        <v>6068</v>
      </c>
    </row>
    <row r="3484" spans="1:1" x14ac:dyDescent="0.25">
      <c r="A3484" s="19" t="s">
        <v>6069</v>
      </c>
    </row>
    <row r="3485" spans="1:1" x14ac:dyDescent="0.25">
      <c r="A3485" s="19" t="s">
        <v>6070</v>
      </c>
    </row>
    <row r="3486" spans="1:1" x14ac:dyDescent="0.25">
      <c r="A3486" s="19" t="s">
        <v>6071</v>
      </c>
    </row>
    <row r="3487" spans="1:1" x14ac:dyDescent="0.25">
      <c r="A3487" s="19" t="s">
        <v>6072</v>
      </c>
    </row>
    <row r="3488" spans="1:1" x14ac:dyDescent="0.25">
      <c r="A3488" s="19" t="s">
        <v>6073</v>
      </c>
    </row>
    <row r="3489" spans="1:1" x14ac:dyDescent="0.25">
      <c r="A3489" s="19" t="s">
        <v>6073</v>
      </c>
    </row>
    <row r="3490" spans="1:1" x14ac:dyDescent="0.25">
      <c r="A3490" s="19" t="s">
        <v>6074</v>
      </c>
    </row>
    <row r="3491" spans="1:1" x14ac:dyDescent="0.25">
      <c r="A3491" s="19" t="s">
        <v>6075</v>
      </c>
    </row>
    <row r="3492" spans="1:1" x14ac:dyDescent="0.25">
      <c r="A3492" s="19" t="s">
        <v>6076</v>
      </c>
    </row>
    <row r="3493" spans="1:1" x14ac:dyDescent="0.25">
      <c r="A3493" s="19" t="s">
        <v>6077</v>
      </c>
    </row>
    <row r="3494" spans="1:1" x14ac:dyDescent="0.25">
      <c r="A3494" s="19" t="s">
        <v>6078</v>
      </c>
    </row>
    <row r="3495" spans="1:1" x14ac:dyDescent="0.25">
      <c r="A3495" s="19" t="s">
        <v>6079</v>
      </c>
    </row>
    <row r="3496" spans="1:1" x14ac:dyDescent="0.25">
      <c r="A3496" s="19" t="s">
        <v>6080</v>
      </c>
    </row>
    <row r="3497" spans="1:1" x14ac:dyDescent="0.25">
      <c r="A3497" s="19" t="s">
        <v>6081</v>
      </c>
    </row>
    <row r="3498" spans="1:1" x14ac:dyDescent="0.25">
      <c r="A3498" s="19" t="s">
        <v>6082</v>
      </c>
    </row>
    <row r="3499" spans="1:1" x14ac:dyDescent="0.25">
      <c r="A3499" s="19" t="s">
        <v>6083</v>
      </c>
    </row>
    <row r="3500" spans="1:1" x14ac:dyDescent="0.25">
      <c r="A3500" s="19" t="s">
        <v>6084</v>
      </c>
    </row>
    <row r="3501" spans="1:1" x14ac:dyDescent="0.25">
      <c r="A3501" s="19" t="s">
        <v>6085</v>
      </c>
    </row>
    <row r="3502" spans="1:1" x14ac:dyDescent="0.25">
      <c r="A3502" s="19" t="s">
        <v>6086</v>
      </c>
    </row>
    <row r="3503" spans="1:1" x14ac:dyDescent="0.25">
      <c r="A3503" s="19" t="s">
        <v>6087</v>
      </c>
    </row>
    <row r="3504" spans="1:1" x14ac:dyDescent="0.25">
      <c r="A3504" s="19" t="s">
        <v>6088</v>
      </c>
    </row>
    <row r="3505" spans="1:1" x14ac:dyDescent="0.25">
      <c r="A3505" s="19" t="s">
        <v>6089</v>
      </c>
    </row>
    <row r="3506" spans="1:1" x14ac:dyDescent="0.25">
      <c r="A3506" s="19" t="s">
        <v>6090</v>
      </c>
    </row>
    <row r="3507" spans="1:1" x14ac:dyDescent="0.25">
      <c r="A3507" s="19" t="s">
        <v>6091</v>
      </c>
    </row>
    <row r="3508" spans="1:1" x14ac:dyDescent="0.25">
      <c r="A3508" s="19" t="s">
        <v>6092</v>
      </c>
    </row>
    <row r="3509" spans="1:1" x14ac:dyDescent="0.25">
      <c r="A3509" s="19" t="s">
        <v>6093</v>
      </c>
    </row>
    <row r="3510" spans="1:1" x14ac:dyDescent="0.25">
      <c r="A3510" s="19" t="s">
        <v>6094</v>
      </c>
    </row>
    <row r="3511" spans="1:1" x14ac:dyDescent="0.25">
      <c r="A3511" s="19" t="s">
        <v>6095</v>
      </c>
    </row>
    <row r="3512" spans="1:1" x14ac:dyDescent="0.25">
      <c r="A3512" s="19" t="s">
        <v>6096</v>
      </c>
    </row>
    <row r="3513" spans="1:1" x14ac:dyDescent="0.25">
      <c r="A3513" s="19" t="s">
        <v>6097</v>
      </c>
    </row>
    <row r="3514" spans="1:1" x14ac:dyDescent="0.25">
      <c r="A3514" s="19" t="s">
        <v>6097</v>
      </c>
    </row>
    <row r="3515" spans="1:1" x14ac:dyDescent="0.25">
      <c r="A3515" s="19" t="s">
        <v>6098</v>
      </c>
    </row>
    <row r="3516" spans="1:1" x14ac:dyDescent="0.25">
      <c r="A3516" s="19" t="s">
        <v>6099</v>
      </c>
    </row>
    <row r="3517" spans="1:1" x14ac:dyDescent="0.25">
      <c r="A3517" s="19" t="s">
        <v>6100</v>
      </c>
    </row>
    <row r="3518" spans="1:1" x14ac:dyDescent="0.25">
      <c r="A3518" s="19" t="s">
        <v>6101</v>
      </c>
    </row>
    <row r="3519" spans="1:1" x14ac:dyDescent="0.25">
      <c r="A3519" s="19" t="s">
        <v>6102</v>
      </c>
    </row>
    <row r="3520" spans="1:1" x14ac:dyDescent="0.25">
      <c r="A3520" s="19" t="s">
        <v>6103</v>
      </c>
    </row>
    <row r="3521" spans="1:1" x14ac:dyDescent="0.25">
      <c r="A3521" s="19" t="s">
        <v>6104</v>
      </c>
    </row>
    <row r="3522" spans="1:1" x14ac:dyDescent="0.25">
      <c r="A3522" s="19" t="s">
        <v>6105</v>
      </c>
    </row>
    <row r="3523" spans="1:1" x14ac:dyDescent="0.25">
      <c r="A3523" s="19" t="s">
        <v>6106</v>
      </c>
    </row>
    <row r="3524" spans="1:1" x14ac:dyDescent="0.25">
      <c r="A3524" s="19" t="s">
        <v>6107</v>
      </c>
    </row>
    <row r="3525" spans="1:1" x14ac:dyDescent="0.25">
      <c r="A3525" s="19" t="s">
        <v>6108</v>
      </c>
    </row>
    <row r="3526" spans="1:1" x14ac:dyDescent="0.25">
      <c r="A3526" s="19" t="s">
        <v>6109</v>
      </c>
    </row>
    <row r="3527" spans="1:1" x14ac:dyDescent="0.25">
      <c r="A3527" s="19" t="s">
        <v>6110</v>
      </c>
    </row>
    <row r="3528" spans="1:1" x14ac:dyDescent="0.25">
      <c r="A3528" s="19" t="s">
        <v>6111</v>
      </c>
    </row>
    <row r="3529" spans="1:1" x14ac:dyDescent="0.25">
      <c r="A3529" s="19" t="s">
        <v>6112</v>
      </c>
    </row>
    <row r="3530" spans="1:1" x14ac:dyDescent="0.25">
      <c r="A3530" s="19" t="s">
        <v>6113</v>
      </c>
    </row>
    <row r="3531" spans="1:1" x14ac:dyDescent="0.25">
      <c r="A3531" s="19" t="s">
        <v>6114</v>
      </c>
    </row>
    <row r="3532" spans="1:1" x14ac:dyDescent="0.25">
      <c r="A3532" s="19" t="s">
        <v>6115</v>
      </c>
    </row>
    <row r="3533" spans="1:1" x14ac:dyDescent="0.25">
      <c r="A3533" s="19" t="s">
        <v>6116</v>
      </c>
    </row>
    <row r="3534" spans="1:1" x14ac:dyDescent="0.25">
      <c r="A3534" s="19" t="s">
        <v>6117</v>
      </c>
    </row>
    <row r="3535" spans="1:1" x14ac:dyDescent="0.25">
      <c r="A3535" s="19" t="s">
        <v>6118</v>
      </c>
    </row>
    <row r="3536" spans="1:1" x14ac:dyDescent="0.25">
      <c r="A3536" s="19" t="s">
        <v>6119</v>
      </c>
    </row>
    <row r="3537" spans="1:1" x14ac:dyDescent="0.25">
      <c r="A3537" s="19" t="s">
        <v>6120</v>
      </c>
    </row>
    <row r="3538" spans="1:1" x14ac:dyDescent="0.25">
      <c r="A3538" s="19" t="s">
        <v>6121</v>
      </c>
    </row>
    <row r="3539" spans="1:1" x14ac:dyDescent="0.25">
      <c r="A3539" s="19" t="s">
        <v>6122</v>
      </c>
    </row>
    <row r="3540" spans="1:1" x14ac:dyDescent="0.25">
      <c r="A3540" s="19" t="s">
        <v>6123</v>
      </c>
    </row>
    <row r="3541" spans="1:1" x14ac:dyDescent="0.25">
      <c r="A3541" s="19" t="s">
        <v>6124</v>
      </c>
    </row>
    <row r="3542" spans="1:1" x14ac:dyDescent="0.25">
      <c r="A3542" s="19" t="s">
        <v>6125</v>
      </c>
    </row>
    <row r="3543" spans="1:1" x14ac:dyDescent="0.25">
      <c r="A3543" s="19" t="s">
        <v>6126</v>
      </c>
    </row>
    <row r="3544" spans="1:1" x14ac:dyDescent="0.25">
      <c r="A3544" s="19" t="s">
        <v>6127</v>
      </c>
    </row>
    <row r="3545" spans="1:1" x14ac:dyDescent="0.25">
      <c r="A3545" s="19" t="s">
        <v>6128</v>
      </c>
    </row>
    <row r="3546" spans="1:1" x14ac:dyDescent="0.25">
      <c r="A3546" s="19" t="s">
        <v>6129</v>
      </c>
    </row>
    <row r="3547" spans="1:1" x14ac:dyDescent="0.25">
      <c r="A3547" s="19" t="s">
        <v>6130</v>
      </c>
    </row>
    <row r="3548" spans="1:1" x14ac:dyDescent="0.25">
      <c r="A3548" s="19" t="s">
        <v>6131</v>
      </c>
    </row>
    <row r="3549" spans="1:1" x14ac:dyDescent="0.25">
      <c r="A3549" s="19" t="s">
        <v>6132</v>
      </c>
    </row>
    <row r="3550" spans="1:1" x14ac:dyDescent="0.25">
      <c r="A3550" s="19" t="s">
        <v>6133</v>
      </c>
    </row>
    <row r="3551" spans="1:1" x14ac:dyDescent="0.25">
      <c r="A3551" s="19" t="s">
        <v>6134</v>
      </c>
    </row>
    <row r="3552" spans="1:1" x14ac:dyDescent="0.25">
      <c r="A3552" s="19" t="s">
        <v>6135</v>
      </c>
    </row>
    <row r="3553" spans="1:1" x14ac:dyDescent="0.25">
      <c r="A3553" s="19" t="s">
        <v>6136</v>
      </c>
    </row>
    <row r="3554" spans="1:1" x14ac:dyDescent="0.25">
      <c r="A3554" s="19" t="s">
        <v>6137</v>
      </c>
    </row>
    <row r="3555" spans="1:1" x14ac:dyDescent="0.25">
      <c r="A3555" s="19" t="s">
        <v>6138</v>
      </c>
    </row>
    <row r="3556" spans="1:1" x14ac:dyDescent="0.25">
      <c r="A3556" s="19" t="s">
        <v>6139</v>
      </c>
    </row>
    <row r="3557" spans="1:1" x14ac:dyDescent="0.25">
      <c r="A3557" s="19" t="s">
        <v>6140</v>
      </c>
    </row>
    <row r="3558" spans="1:1" x14ac:dyDescent="0.25">
      <c r="A3558" s="19" t="s">
        <v>6141</v>
      </c>
    </row>
    <row r="3559" spans="1:1" x14ac:dyDescent="0.25">
      <c r="A3559" s="19" t="s">
        <v>6142</v>
      </c>
    </row>
    <row r="3560" spans="1:1" x14ac:dyDescent="0.25">
      <c r="A3560" s="19" t="s">
        <v>6143</v>
      </c>
    </row>
    <row r="3561" spans="1:1" x14ac:dyDescent="0.25">
      <c r="A3561" s="19" t="s">
        <v>6144</v>
      </c>
    </row>
    <row r="3562" spans="1:1" x14ac:dyDescent="0.25">
      <c r="A3562" s="19" t="s">
        <v>6145</v>
      </c>
    </row>
    <row r="3563" spans="1:1" x14ac:dyDescent="0.25">
      <c r="A3563" s="19" t="s">
        <v>6146</v>
      </c>
    </row>
    <row r="3564" spans="1:1" x14ac:dyDescent="0.25">
      <c r="A3564" s="19" t="s">
        <v>6147</v>
      </c>
    </row>
    <row r="3565" spans="1:1" x14ac:dyDescent="0.25">
      <c r="A3565" s="19" t="s">
        <v>6148</v>
      </c>
    </row>
    <row r="3566" spans="1:1" x14ac:dyDescent="0.25">
      <c r="A3566" s="19" t="s">
        <v>6149</v>
      </c>
    </row>
    <row r="3567" spans="1:1" x14ac:dyDescent="0.25">
      <c r="A3567" s="19" t="s">
        <v>6150</v>
      </c>
    </row>
    <row r="3568" spans="1:1" x14ac:dyDescent="0.25">
      <c r="A3568" s="19" t="s">
        <v>6151</v>
      </c>
    </row>
    <row r="3569" spans="1:1" x14ac:dyDescent="0.25">
      <c r="A3569" s="19" t="s">
        <v>6152</v>
      </c>
    </row>
    <row r="3570" spans="1:1" x14ac:dyDescent="0.25">
      <c r="A3570" s="19" t="s">
        <v>6153</v>
      </c>
    </row>
    <row r="3571" spans="1:1" x14ac:dyDescent="0.25">
      <c r="A3571" s="19" t="s">
        <v>6154</v>
      </c>
    </row>
    <row r="3572" spans="1:1" x14ac:dyDescent="0.25">
      <c r="A3572" s="19" t="s">
        <v>6155</v>
      </c>
    </row>
    <row r="3573" spans="1:1" x14ac:dyDescent="0.25">
      <c r="A3573" s="19" t="s">
        <v>6156</v>
      </c>
    </row>
    <row r="3574" spans="1:1" x14ac:dyDescent="0.25">
      <c r="A3574" s="19" t="s">
        <v>6157</v>
      </c>
    </row>
    <row r="3575" spans="1:1" x14ac:dyDescent="0.25">
      <c r="A3575" s="19" t="s">
        <v>6158</v>
      </c>
    </row>
    <row r="3576" spans="1:1" x14ac:dyDescent="0.25">
      <c r="A3576" s="19" t="s">
        <v>6159</v>
      </c>
    </row>
    <row r="3577" spans="1:1" x14ac:dyDescent="0.25">
      <c r="A3577" s="19" t="s">
        <v>6160</v>
      </c>
    </row>
    <row r="3578" spans="1:1" x14ac:dyDescent="0.25">
      <c r="A3578" s="19" t="s">
        <v>6161</v>
      </c>
    </row>
    <row r="3579" spans="1:1" x14ac:dyDescent="0.25">
      <c r="A3579" s="19" t="s">
        <v>6162</v>
      </c>
    </row>
    <row r="3580" spans="1:1" x14ac:dyDescent="0.25">
      <c r="A3580" s="19" t="s">
        <v>6163</v>
      </c>
    </row>
    <row r="3581" spans="1:1" x14ac:dyDescent="0.25">
      <c r="A3581" s="19" t="s">
        <v>6164</v>
      </c>
    </row>
    <row r="3582" spans="1:1" x14ac:dyDescent="0.25">
      <c r="A3582" s="19" t="s">
        <v>6165</v>
      </c>
    </row>
    <row r="3583" spans="1:1" x14ac:dyDescent="0.25">
      <c r="A3583" s="19" t="s">
        <v>6166</v>
      </c>
    </row>
    <row r="3584" spans="1:1" x14ac:dyDescent="0.25">
      <c r="A3584" s="19" t="s">
        <v>6167</v>
      </c>
    </row>
    <row r="3585" spans="1:1" x14ac:dyDescent="0.25">
      <c r="A3585" s="19" t="s">
        <v>6168</v>
      </c>
    </row>
    <row r="3586" spans="1:1" x14ac:dyDescent="0.25">
      <c r="A3586" s="19" t="s">
        <v>6169</v>
      </c>
    </row>
    <row r="3587" spans="1:1" x14ac:dyDescent="0.25">
      <c r="A3587" s="19" t="s">
        <v>6170</v>
      </c>
    </row>
    <row r="3588" spans="1:1" x14ac:dyDescent="0.25">
      <c r="A3588" s="19" t="s">
        <v>6171</v>
      </c>
    </row>
    <row r="3589" spans="1:1" x14ac:dyDescent="0.25">
      <c r="A3589" s="19" t="s">
        <v>6172</v>
      </c>
    </row>
    <row r="3590" spans="1:1" x14ac:dyDescent="0.25">
      <c r="A3590" s="19" t="s">
        <v>6173</v>
      </c>
    </row>
    <row r="3591" spans="1:1" x14ac:dyDescent="0.25">
      <c r="A3591" s="19" t="s">
        <v>6174</v>
      </c>
    </row>
    <row r="3592" spans="1:1" x14ac:dyDescent="0.25">
      <c r="A3592" s="19" t="s">
        <v>6175</v>
      </c>
    </row>
    <row r="3593" spans="1:1" x14ac:dyDescent="0.25">
      <c r="A3593" s="19" t="s">
        <v>6176</v>
      </c>
    </row>
    <row r="3594" spans="1:1" x14ac:dyDescent="0.25">
      <c r="A3594" s="19" t="s">
        <v>6177</v>
      </c>
    </row>
    <row r="3595" spans="1:1" x14ac:dyDescent="0.25">
      <c r="A3595" s="19" t="s">
        <v>6178</v>
      </c>
    </row>
    <row r="3596" spans="1:1" x14ac:dyDescent="0.25">
      <c r="A3596" s="19" t="s">
        <v>6179</v>
      </c>
    </row>
    <row r="3597" spans="1:1" x14ac:dyDescent="0.25">
      <c r="A3597" s="19" t="s">
        <v>6180</v>
      </c>
    </row>
    <row r="3598" spans="1:1" x14ac:dyDescent="0.25">
      <c r="A3598" s="19" t="s">
        <v>6181</v>
      </c>
    </row>
    <row r="3599" spans="1:1" x14ac:dyDescent="0.25">
      <c r="A3599" s="19" t="s">
        <v>6182</v>
      </c>
    </row>
    <row r="3600" spans="1:1" x14ac:dyDescent="0.25">
      <c r="A3600" s="19" t="s">
        <v>6183</v>
      </c>
    </row>
    <row r="3601" spans="1:1" x14ac:dyDescent="0.25">
      <c r="A3601" s="19" t="s">
        <v>6184</v>
      </c>
    </row>
    <row r="3602" spans="1:1" x14ac:dyDescent="0.25">
      <c r="A3602" s="19" t="s">
        <v>6185</v>
      </c>
    </row>
    <row r="3603" spans="1:1" x14ac:dyDescent="0.25">
      <c r="A3603" s="19" t="s">
        <v>6186</v>
      </c>
    </row>
    <row r="3604" spans="1:1" x14ac:dyDescent="0.25">
      <c r="A3604" s="19" t="s">
        <v>6187</v>
      </c>
    </row>
    <row r="3605" spans="1:1" x14ac:dyDescent="0.25">
      <c r="A3605" s="19" t="s">
        <v>6188</v>
      </c>
    </row>
    <row r="3606" spans="1:1" x14ac:dyDescent="0.25">
      <c r="A3606" s="19" t="s">
        <v>6189</v>
      </c>
    </row>
    <row r="3607" spans="1:1" x14ac:dyDescent="0.25">
      <c r="A3607" s="19" t="s">
        <v>6190</v>
      </c>
    </row>
    <row r="3608" spans="1:1" x14ac:dyDescent="0.25">
      <c r="A3608" s="19" t="s">
        <v>6191</v>
      </c>
    </row>
    <row r="3609" spans="1:1" x14ac:dyDescent="0.25">
      <c r="A3609" s="19" t="s">
        <v>6192</v>
      </c>
    </row>
    <row r="3610" spans="1:1" x14ac:dyDescent="0.25">
      <c r="A3610" s="19" t="s">
        <v>6193</v>
      </c>
    </row>
    <row r="3611" spans="1:1" x14ac:dyDescent="0.25">
      <c r="A3611" s="19" t="s">
        <v>6194</v>
      </c>
    </row>
    <row r="3612" spans="1:1" x14ac:dyDescent="0.25">
      <c r="A3612" s="19" t="s">
        <v>6195</v>
      </c>
    </row>
    <row r="3613" spans="1:1" x14ac:dyDescent="0.25">
      <c r="A3613" s="19" t="s">
        <v>6196</v>
      </c>
    </row>
    <row r="3614" spans="1:1" x14ac:dyDescent="0.25">
      <c r="A3614" s="19" t="s">
        <v>6197</v>
      </c>
    </row>
    <row r="3615" spans="1:1" x14ac:dyDescent="0.25">
      <c r="A3615" s="19" t="s">
        <v>6198</v>
      </c>
    </row>
    <row r="3616" spans="1:1" x14ac:dyDescent="0.25">
      <c r="A3616" s="19" t="s">
        <v>6199</v>
      </c>
    </row>
    <row r="3617" spans="1:1" x14ac:dyDescent="0.25">
      <c r="A3617" s="19" t="s">
        <v>6200</v>
      </c>
    </row>
    <row r="3618" spans="1:1" x14ac:dyDescent="0.25">
      <c r="A3618" s="19" t="s">
        <v>6201</v>
      </c>
    </row>
    <row r="3619" spans="1:1" x14ac:dyDescent="0.25">
      <c r="A3619" s="19" t="s">
        <v>6202</v>
      </c>
    </row>
    <row r="3620" spans="1:1" x14ac:dyDescent="0.25">
      <c r="A3620" s="19" t="s">
        <v>6203</v>
      </c>
    </row>
    <row r="3621" spans="1:1" x14ac:dyDescent="0.25">
      <c r="A3621" s="19" t="s">
        <v>6204</v>
      </c>
    </row>
    <row r="3622" spans="1:1" x14ac:dyDescent="0.25">
      <c r="A3622" s="19" t="s">
        <v>6205</v>
      </c>
    </row>
    <row r="3623" spans="1:1" x14ac:dyDescent="0.25">
      <c r="A3623" s="19" t="s">
        <v>6206</v>
      </c>
    </row>
    <row r="3624" spans="1:1" x14ac:dyDescent="0.25">
      <c r="A3624" s="19" t="s">
        <v>6207</v>
      </c>
    </row>
    <row r="3625" spans="1:1" x14ac:dyDescent="0.25">
      <c r="A3625" s="19" t="s">
        <v>6208</v>
      </c>
    </row>
    <row r="3626" spans="1:1" x14ac:dyDescent="0.25">
      <c r="A3626" s="19" t="s">
        <v>6209</v>
      </c>
    </row>
    <row r="3627" spans="1:1" x14ac:dyDescent="0.25">
      <c r="A3627" s="19" t="s">
        <v>6210</v>
      </c>
    </row>
    <row r="3628" spans="1:1" x14ac:dyDescent="0.25">
      <c r="A3628" s="19" t="s">
        <v>6211</v>
      </c>
    </row>
    <row r="3629" spans="1:1" x14ac:dyDescent="0.25">
      <c r="A3629" s="19" t="s">
        <v>6212</v>
      </c>
    </row>
    <row r="3630" spans="1:1" x14ac:dyDescent="0.25">
      <c r="A3630" s="19" t="s">
        <v>6213</v>
      </c>
    </row>
    <row r="3631" spans="1:1" x14ac:dyDescent="0.25">
      <c r="A3631" s="19" t="s">
        <v>6214</v>
      </c>
    </row>
    <row r="3632" spans="1:1" x14ac:dyDescent="0.25">
      <c r="A3632" s="19" t="s">
        <v>6215</v>
      </c>
    </row>
    <row r="3633" spans="1:1" x14ac:dyDescent="0.25">
      <c r="A3633" s="19" t="s">
        <v>6216</v>
      </c>
    </row>
    <row r="3634" spans="1:1" x14ac:dyDescent="0.25">
      <c r="A3634" s="19" t="s">
        <v>6217</v>
      </c>
    </row>
    <row r="3635" spans="1:1" x14ac:dyDescent="0.25">
      <c r="A3635" s="19" t="s">
        <v>6218</v>
      </c>
    </row>
    <row r="3636" spans="1:1" x14ac:dyDescent="0.25">
      <c r="A3636" s="19" t="s">
        <v>6219</v>
      </c>
    </row>
    <row r="3637" spans="1:1" x14ac:dyDescent="0.25">
      <c r="A3637" s="19" t="s">
        <v>6220</v>
      </c>
    </row>
    <row r="3638" spans="1:1" x14ac:dyDescent="0.25">
      <c r="A3638" s="19" t="s">
        <v>6221</v>
      </c>
    </row>
    <row r="3639" spans="1:1" x14ac:dyDescent="0.25">
      <c r="A3639" s="19" t="s">
        <v>6222</v>
      </c>
    </row>
    <row r="3640" spans="1:1" x14ac:dyDescent="0.25">
      <c r="A3640" s="19" t="s">
        <v>6223</v>
      </c>
    </row>
    <row r="3641" spans="1:1" x14ac:dyDescent="0.25">
      <c r="A3641" s="19" t="s">
        <v>6224</v>
      </c>
    </row>
    <row r="3642" spans="1:1" x14ac:dyDescent="0.25">
      <c r="A3642" s="19" t="s">
        <v>6225</v>
      </c>
    </row>
    <row r="3643" spans="1:1" x14ac:dyDescent="0.25">
      <c r="A3643" s="19" t="s">
        <v>6226</v>
      </c>
    </row>
    <row r="3644" spans="1:1" x14ac:dyDescent="0.25">
      <c r="A3644" s="19" t="s">
        <v>6227</v>
      </c>
    </row>
    <row r="3645" spans="1:1" x14ac:dyDescent="0.25">
      <c r="A3645" s="19" t="s">
        <v>6228</v>
      </c>
    </row>
    <row r="3646" spans="1:1" x14ac:dyDescent="0.25">
      <c r="A3646" s="19" t="s">
        <v>6229</v>
      </c>
    </row>
    <row r="3647" spans="1:1" x14ac:dyDescent="0.25">
      <c r="A3647" s="19" t="s">
        <v>6230</v>
      </c>
    </row>
    <row r="3648" spans="1:1" x14ac:dyDescent="0.25">
      <c r="A3648" s="19" t="s">
        <v>6231</v>
      </c>
    </row>
    <row r="3649" spans="1:1" x14ac:dyDescent="0.25">
      <c r="A3649" s="19" t="s">
        <v>6232</v>
      </c>
    </row>
    <row r="3650" spans="1:1" x14ac:dyDescent="0.25">
      <c r="A3650" s="19" t="s">
        <v>6233</v>
      </c>
    </row>
    <row r="3651" spans="1:1" x14ac:dyDescent="0.25">
      <c r="A3651" s="19" t="s">
        <v>6234</v>
      </c>
    </row>
    <row r="3652" spans="1:1" x14ac:dyDescent="0.25">
      <c r="A3652" s="19" t="s">
        <v>6235</v>
      </c>
    </row>
    <row r="3653" spans="1:1" x14ac:dyDescent="0.25">
      <c r="A3653" s="19" t="s">
        <v>6236</v>
      </c>
    </row>
    <row r="3654" spans="1:1" x14ac:dyDescent="0.25">
      <c r="A3654" s="19" t="s">
        <v>6237</v>
      </c>
    </row>
    <row r="3655" spans="1:1" x14ac:dyDescent="0.25">
      <c r="A3655" s="19" t="s">
        <v>6238</v>
      </c>
    </row>
    <row r="3656" spans="1:1" x14ac:dyDescent="0.25">
      <c r="A3656" s="19" t="s">
        <v>6239</v>
      </c>
    </row>
    <row r="3657" spans="1:1" x14ac:dyDescent="0.25">
      <c r="A3657" s="19" t="s">
        <v>6240</v>
      </c>
    </row>
    <row r="3658" spans="1:1" x14ac:dyDescent="0.25">
      <c r="A3658" s="19" t="s">
        <v>6241</v>
      </c>
    </row>
    <row r="3659" spans="1:1" x14ac:dyDescent="0.25">
      <c r="A3659" s="19" t="s">
        <v>6242</v>
      </c>
    </row>
    <row r="3660" spans="1:1" x14ac:dyDescent="0.25">
      <c r="A3660" s="19" t="s">
        <v>6243</v>
      </c>
    </row>
    <row r="3661" spans="1:1" x14ac:dyDescent="0.25">
      <c r="A3661" s="19" t="s">
        <v>6244</v>
      </c>
    </row>
    <row r="3662" spans="1:1" x14ac:dyDescent="0.25">
      <c r="A3662" s="19" t="s">
        <v>6245</v>
      </c>
    </row>
    <row r="3663" spans="1:1" x14ac:dyDescent="0.25">
      <c r="A3663" s="19" t="s">
        <v>6246</v>
      </c>
    </row>
    <row r="3664" spans="1:1" x14ac:dyDescent="0.25">
      <c r="A3664" s="19" t="s">
        <v>6247</v>
      </c>
    </row>
    <row r="3665" spans="1:1" x14ac:dyDescent="0.25">
      <c r="A3665" s="19" t="s">
        <v>6248</v>
      </c>
    </row>
    <row r="3666" spans="1:1" x14ac:dyDescent="0.25">
      <c r="A3666" s="19" t="s">
        <v>6249</v>
      </c>
    </row>
    <row r="3667" spans="1:1" x14ac:dyDescent="0.25">
      <c r="A3667" s="19" t="s">
        <v>6250</v>
      </c>
    </row>
    <row r="3668" spans="1:1" x14ac:dyDescent="0.25">
      <c r="A3668" s="19" t="s">
        <v>6251</v>
      </c>
    </row>
    <row r="3669" spans="1:1" x14ac:dyDescent="0.25">
      <c r="A3669" s="19" t="s">
        <v>6252</v>
      </c>
    </row>
    <row r="3670" spans="1:1" x14ac:dyDescent="0.25">
      <c r="A3670" s="19" t="s">
        <v>6253</v>
      </c>
    </row>
    <row r="3671" spans="1:1" x14ac:dyDescent="0.25">
      <c r="A3671" s="19" t="s">
        <v>6254</v>
      </c>
    </row>
    <row r="3672" spans="1:1" x14ac:dyDescent="0.25">
      <c r="A3672" s="19" t="s">
        <v>6255</v>
      </c>
    </row>
    <row r="3673" spans="1:1" x14ac:dyDescent="0.25">
      <c r="A3673" s="19" t="s">
        <v>6256</v>
      </c>
    </row>
    <row r="3674" spans="1:1" x14ac:dyDescent="0.25">
      <c r="A3674" s="19" t="s">
        <v>6257</v>
      </c>
    </row>
    <row r="3675" spans="1:1" x14ac:dyDescent="0.25">
      <c r="A3675" s="19" t="s">
        <v>6258</v>
      </c>
    </row>
    <row r="3676" spans="1:1" x14ac:dyDescent="0.25">
      <c r="A3676" s="19" t="s">
        <v>6259</v>
      </c>
    </row>
    <row r="3677" spans="1:1" x14ac:dyDescent="0.25">
      <c r="A3677" s="19" t="s">
        <v>6260</v>
      </c>
    </row>
    <row r="3678" spans="1:1" x14ac:dyDescent="0.25">
      <c r="A3678" s="19" t="s">
        <v>6261</v>
      </c>
    </row>
    <row r="3679" spans="1:1" x14ac:dyDescent="0.25">
      <c r="A3679" s="19" t="s">
        <v>6262</v>
      </c>
    </row>
    <row r="3680" spans="1:1" x14ac:dyDescent="0.25">
      <c r="A3680" s="19" t="s">
        <v>6263</v>
      </c>
    </row>
    <row r="3681" spans="1:1" x14ac:dyDescent="0.25">
      <c r="A3681" s="19" t="s">
        <v>6264</v>
      </c>
    </row>
    <row r="3682" spans="1:1" x14ac:dyDescent="0.25">
      <c r="A3682" s="19" t="s">
        <v>6265</v>
      </c>
    </row>
    <row r="3683" spans="1:1" x14ac:dyDescent="0.25">
      <c r="A3683" s="19" t="s">
        <v>6266</v>
      </c>
    </row>
    <row r="3684" spans="1:1" x14ac:dyDescent="0.25">
      <c r="A3684" s="19" t="s">
        <v>6267</v>
      </c>
    </row>
    <row r="3685" spans="1:1" x14ac:dyDescent="0.25">
      <c r="A3685" s="19" t="s">
        <v>6268</v>
      </c>
    </row>
    <row r="3686" spans="1:1" x14ac:dyDescent="0.25">
      <c r="A3686" s="19" t="s">
        <v>6269</v>
      </c>
    </row>
    <row r="3687" spans="1:1" x14ac:dyDescent="0.25">
      <c r="A3687" s="19" t="s">
        <v>6270</v>
      </c>
    </row>
    <row r="3688" spans="1:1" x14ac:dyDescent="0.25">
      <c r="A3688" s="19" t="s">
        <v>6271</v>
      </c>
    </row>
    <row r="3689" spans="1:1" x14ac:dyDescent="0.25">
      <c r="A3689" s="19" t="s">
        <v>6272</v>
      </c>
    </row>
    <row r="3690" spans="1:1" x14ac:dyDescent="0.25">
      <c r="A3690" s="19" t="s">
        <v>6273</v>
      </c>
    </row>
    <row r="3691" spans="1:1" x14ac:dyDescent="0.25">
      <c r="A3691" s="19" t="s">
        <v>6274</v>
      </c>
    </row>
    <row r="3692" spans="1:1" x14ac:dyDescent="0.25">
      <c r="A3692" s="19" t="s">
        <v>6275</v>
      </c>
    </row>
    <row r="3693" spans="1:1" x14ac:dyDescent="0.25">
      <c r="A3693" s="19" t="s">
        <v>6276</v>
      </c>
    </row>
    <row r="3694" spans="1:1" x14ac:dyDescent="0.25">
      <c r="A3694" s="19" t="s">
        <v>6277</v>
      </c>
    </row>
    <row r="3695" spans="1:1" x14ac:dyDescent="0.25">
      <c r="A3695" s="19" t="s">
        <v>6278</v>
      </c>
    </row>
    <row r="3696" spans="1:1" x14ac:dyDescent="0.25">
      <c r="A3696" s="19" t="s">
        <v>6279</v>
      </c>
    </row>
    <row r="3697" spans="1:1" x14ac:dyDescent="0.25">
      <c r="A3697" s="19" t="s">
        <v>6280</v>
      </c>
    </row>
    <row r="3698" spans="1:1" x14ac:dyDescent="0.25">
      <c r="A3698" s="19" t="s">
        <v>6281</v>
      </c>
    </row>
    <row r="3699" spans="1:1" x14ac:dyDescent="0.25">
      <c r="A3699" s="19" t="s">
        <v>6282</v>
      </c>
    </row>
    <row r="3700" spans="1:1" x14ac:dyDescent="0.25">
      <c r="A3700" s="19" t="s">
        <v>6283</v>
      </c>
    </row>
    <row r="3701" spans="1:1" x14ac:dyDescent="0.25">
      <c r="A3701" s="19" t="s">
        <v>6284</v>
      </c>
    </row>
    <row r="3702" spans="1:1" x14ac:dyDescent="0.25">
      <c r="A3702" s="19" t="s">
        <v>6285</v>
      </c>
    </row>
    <row r="3703" spans="1:1" x14ac:dyDescent="0.25">
      <c r="A3703" s="19" t="s">
        <v>6286</v>
      </c>
    </row>
    <row r="3704" spans="1:1" x14ac:dyDescent="0.25">
      <c r="A3704" s="19" t="s">
        <v>6287</v>
      </c>
    </row>
    <row r="3705" spans="1:1" x14ac:dyDescent="0.25">
      <c r="A3705" s="19" t="s">
        <v>6288</v>
      </c>
    </row>
    <row r="3706" spans="1:1" x14ac:dyDescent="0.25">
      <c r="A3706" s="19" t="s">
        <v>6289</v>
      </c>
    </row>
    <row r="3707" spans="1:1" x14ac:dyDescent="0.25">
      <c r="A3707" s="19" t="s">
        <v>6290</v>
      </c>
    </row>
    <row r="3708" spans="1:1" x14ac:dyDescent="0.25">
      <c r="A3708" s="19" t="s">
        <v>6291</v>
      </c>
    </row>
    <row r="3709" spans="1:1" x14ac:dyDescent="0.25">
      <c r="A3709" s="19" t="s">
        <v>6292</v>
      </c>
    </row>
    <row r="3710" spans="1:1" x14ac:dyDescent="0.25">
      <c r="A3710" s="19" t="s">
        <v>6293</v>
      </c>
    </row>
    <row r="3711" spans="1:1" x14ac:dyDescent="0.25">
      <c r="A3711" s="19" t="s">
        <v>6294</v>
      </c>
    </row>
    <row r="3712" spans="1:1" x14ac:dyDescent="0.25">
      <c r="A3712" s="19" t="s">
        <v>6295</v>
      </c>
    </row>
    <row r="3713" spans="1:1" x14ac:dyDescent="0.25">
      <c r="A3713" s="19" t="s">
        <v>6296</v>
      </c>
    </row>
    <row r="3714" spans="1:1" x14ac:dyDescent="0.25">
      <c r="A3714" s="19" t="s">
        <v>6297</v>
      </c>
    </row>
    <row r="3715" spans="1:1" x14ac:dyDescent="0.25">
      <c r="A3715" s="19" t="s">
        <v>6298</v>
      </c>
    </row>
    <row r="3716" spans="1:1" x14ac:dyDescent="0.25">
      <c r="A3716" s="19" t="s">
        <v>6299</v>
      </c>
    </row>
    <row r="3717" spans="1:1" x14ac:dyDescent="0.25">
      <c r="A3717" s="19" t="s">
        <v>6300</v>
      </c>
    </row>
    <row r="3718" spans="1:1" x14ac:dyDescent="0.25">
      <c r="A3718" s="19" t="s">
        <v>6301</v>
      </c>
    </row>
    <row r="3719" spans="1:1" x14ac:dyDescent="0.25">
      <c r="A3719" s="19" t="s">
        <v>6302</v>
      </c>
    </row>
    <row r="3720" spans="1:1" x14ac:dyDescent="0.25">
      <c r="A3720" s="19" t="s">
        <v>6303</v>
      </c>
    </row>
    <row r="3721" spans="1:1" x14ac:dyDescent="0.25">
      <c r="A3721" s="19" t="s">
        <v>6304</v>
      </c>
    </row>
    <row r="3722" spans="1:1" x14ac:dyDescent="0.25">
      <c r="A3722" s="19" t="s">
        <v>6305</v>
      </c>
    </row>
    <row r="3723" spans="1:1" x14ac:dyDescent="0.25">
      <c r="A3723" s="19" t="s">
        <v>6306</v>
      </c>
    </row>
    <row r="3724" spans="1:1" x14ac:dyDescent="0.25">
      <c r="A3724" s="19" t="s">
        <v>6307</v>
      </c>
    </row>
    <row r="3725" spans="1:1" x14ac:dyDescent="0.25">
      <c r="A3725" s="19" t="s">
        <v>6308</v>
      </c>
    </row>
    <row r="3726" spans="1:1" x14ac:dyDescent="0.25">
      <c r="A3726" s="19" t="s">
        <v>6309</v>
      </c>
    </row>
    <row r="3727" spans="1:1" x14ac:dyDescent="0.25">
      <c r="A3727" s="19" t="s">
        <v>6310</v>
      </c>
    </row>
    <row r="3728" spans="1:1" x14ac:dyDescent="0.25">
      <c r="A3728" s="19" t="s">
        <v>6311</v>
      </c>
    </row>
    <row r="3729" spans="1:1" x14ac:dyDescent="0.25">
      <c r="A3729" s="19" t="s">
        <v>6312</v>
      </c>
    </row>
    <row r="3730" spans="1:1" x14ac:dyDescent="0.25">
      <c r="A3730" s="19" t="s">
        <v>6313</v>
      </c>
    </row>
    <row r="3731" spans="1:1" x14ac:dyDescent="0.25">
      <c r="A3731" s="19" t="s">
        <v>6314</v>
      </c>
    </row>
    <row r="3732" spans="1:1" x14ac:dyDescent="0.25">
      <c r="A3732" s="19" t="s">
        <v>6315</v>
      </c>
    </row>
    <row r="3733" spans="1:1" x14ac:dyDescent="0.25">
      <c r="A3733" s="19" t="s">
        <v>6316</v>
      </c>
    </row>
    <row r="3734" spans="1:1" x14ac:dyDescent="0.25">
      <c r="A3734" s="19" t="s">
        <v>6317</v>
      </c>
    </row>
    <row r="3735" spans="1:1" x14ac:dyDescent="0.25">
      <c r="A3735" s="19" t="s">
        <v>6318</v>
      </c>
    </row>
    <row r="3736" spans="1:1" x14ac:dyDescent="0.25">
      <c r="A3736" s="19" t="s">
        <v>6319</v>
      </c>
    </row>
    <row r="3737" spans="1:1" x14ac:dyDescent="0.25">
      <c r="A3737" s="19" t="s">
        <v>6320</v>
      </c>
    </row>
    <row r="3738" spans="1:1" x14ac:dyDescent="0.25">
      <c r="A3738" s="19" t="s">
        <v>6321</v>
      </c>
    </row>
    <row r="3739" spans="1:1" x14ac:dyDescent="0.25">
      <c r="A3739" s="19" t="s">
        <v>6322</v>
      </c>
    </row>
    <row r="3740" spans="1:1" x14ac:dyDescent="0.25">
      <c r="A3740" s="19" t="s">
        <v>6323</v>
      </c>
    </row>
    <row r="3741" spans="1:1" x14ac:dyDescent="0.25">
      <c r="A3741" s="19" t="s">
        <v>6324</v>
      </c>
    </row>
    <row r="3742" spans="1:1" x14ac:dyDescent="0.25">
      <c r="A3742" s="19" t="s">
        <v>6325</v>
      </c>
    </row>
    <row r="3743" spans="1:1" x14ac:dyDescent="0.25">
      <c r="A3743" s="19" t="s">
        <v>6326</v>
      </c>
    </row>
    <row r="3744" spans="1:1" x14ac:dyDescent="0.25">
      <c r="A3744" s="19" t="s">
        <v>6327</v>
      </c>
    </row>
    <row r="3745" spans="1:1" x14ac:dyDescent="0.25">
      <c r="A3745" s="19" t="s">
        <v>6328</v>
      </c>
    </row>
    <row r="3746" spans="1:1" x14ac:dyDescent="0.25">
      <c r="A3746" s="19" t="s">
        <v>6329</v>
      </c>
    </row>
    <row r="3747" spans="1:1" x14ac:dyDescent="0.25">
      <c r="A3747" s="19" t="s">
        <v>6330</v>
      </c>
    </row>
    <row r="3748" spans="1:1" x14ac:dyDescent="0.25">
      <c r="A3748" s="19" t="s">
        <v>6331</v>
      </c>
    </row>
    <row r="3749" spans="1:1" x14ac:dyDescent="0.25">
      <c r="A3749" s="19" t="s">
        <v>6331</v>
      </c>
    </row>
    <row r="3750" spans="1:1" x14ac:dyDescent="0.25">
      <c r="A3750" s="19" t="s">
        <v>6332</v>
      </c>
    </row>
    <row r="3751" spans="1:1" x14ac:dyDescent="0.25">
      <c r="A3751" s="19" t="s">
        <v>6333</v>
      </c>
    </row>
    <row r="3752" spans="1:1" x14ac:dyDescent="0.25">
      <c r="A3752" s="19" t="s">
        <v>6334</v>
      </c>
    </row>
    <row r="3753" spans="1:1" x14ac:dyDescent="0.25">
      <c r="A3753" s="19" t="s">
        <v>6335</v>
      </c>
    </row>
    <row r="3754" spans="1:1" x14ac:dyDescent="0.25">
      <c r="A3754" s="19" t="s">
        <v>6336</v>
      </c>
    </row>
    <row r="3755" spans="1:1" x14ac:dyDescent="0.25">
      <c r="A3755" s="19" t="s">
        <v>6337</v>
      </c>
    </row>
    <row r="3756" spans="1:1" x14ac:dyDescent="0.25">
      <c r="A3756" s="19" t="s">
        <v>6338</v>
      </c>
    </row>
    <row r="3757" spans="1:1" x14ac:dyDescent="0.25">
      <c r="A3757" s="19" t="s">
        <v>6339</v>
      </c>
    </row>
    <row r="3758" spans="1:1" x14ac:dyDescent="0.25">
      <c r="A3758" s="19" t="s">
        <v>6340</v>
      </c>
    </row>
    <row r="3759" spans="1:1" x14ac:dyDescent="0.25">
      <c r="A3759" s="19" t="s">
        <v>6341</v>
      </c>
    </row>
    <row r="3760" spans="1:1" x14ac:dyDescent="0.25">
      <c r="A3760" s="19" t="s">
        <v>6342</v>
      </c>
    </row>
    <row r="3761" spans="1:1" x14ac:dyDescent="0.25">
      <c r="A3761" s="19" t="s">
        <v>6343</v>
      </c>
    </row>
    <row r="3762" spans="1:1" x14ac:dyDescent="0.25">
      <c r="A3762" s="19" t="s">
        <v>6344</v>
      </c>
    </row>
    <row r="3763" spans="1:1" x14ac:dyDescent="0.25">
      <c r="A3763" s="19" t="s">
        <v>6345</v>
      </c>
    </row>
    <row r="3764" spans="1:1" x14ac:dyDescent="0.25">
      <c r="A3764" s="19" t="s">
        <v>6346</v>
      </c>
    </row>
    <row r="3765" spans="1:1" x14ac:dyDescent="0.25">
      <c r="A3765" s="19" t="s">
        <v>6347</v>
      </c>
    </row>
    <row r="3766" spans="1:1" x14ac:dyDescent="0.25">
      <c r="A3766" s="19" t="s">
        <v>6348</v>
      </c>
    </row>
    <row r="3767" spans="1:1" x14ac:dyDescent="0.25">
      <c r="A3767" s="19" t="s">
        <v>6349</v>
      </c>
    </row>
    <row r="3768" spans="1:1" x14ac:dyDescent="0.25">
      <c r="A3768" s="19" t="s">
        <v>6350</v>
      </c>
    </row>
    <row r="3769" spans="1:1" x14ac:dyDescent="0.25">
      <c r="A3769" s="19" t="s">
        <v>6351</v>
      </c>
    </row>
    <row r="3770" spans="1:1" x14ac:dyDescent="0.25">
      <c r="A3770" s="19" t="s">
        <v>6352</v>
      </c>
    </row>
    <row r="3771" spans="1:1" x14ac:dyDescent="0.25">
      <c r="A3771" s="19" t="s">
        <v>6353</v>
      </c>
    </row>
    <row r="3772" spans="1:1" x14ac:dyDescent="0.25">
      <c r="A3772" s="19" t="s">
        <v>6354</v>
      </c>
    </row>
    <row r="3773" spans="1:1" x14ac:dyDescent="0.25">
      <c r="A3773" s="19" t="s">
        <v>6355</v>
      </c>
    </row>
    <row r="3774" spans="1:1" x14ac:dyDescent="0.25">
      <c r="A3774" s="19" t="s">
        <v>6356</v>
      </c>
    </row>
    <row r="3775" spans="1:1" x14ac:dyDescent="0.25">
      <c r="A3775" s="19" t="s">
        <v>6356</v>
      </c>
    </row>
    <row r="3776" spans="1:1" x14ac:dyDescent="0.25">
      <c r="A3776" s="19" t="s">
        <v>6357</v>
      </c>
    </row>
    <row r="3777" spans="1:1" x14ac:dyDescent="0.25">
      <c r="A3777" s="19" t="s">
        <v>6358</v>
      </c>
    </row>
    <row r="3778" spans="1:1" x14ac:dyDescent="0.25">
      <c r="A3778" s="19" t="s">
        <v>6359</v>
      </c>
    </row>
    <row r="3779" spans="1:1" x14ac:dyDescent="0.25">
      <c r="A3779" s="19" t="s">
        <v>6360</v>
      </c>
    </row>
    <row r="3780" spans="1:1" x14ac:dyDescent="0.25">
      <c r="A3780" s="19" t="s">
        <v>6361</v>
      </c>
    </row>
    <row r="3781" spans="1:1" x14ac:dyDescent="0.25">
      <c r="A3781" s="19" t="s">
        <v>6362</v>
      </c>
    </row>
    <row r="3782" spans="1:1" x14ac:dyDescent="0.25">
      <c r="A3782" s="19" t="s">
        <v>6363</v>
      </c>
    </row>
    <row r="3783" spans="1:1" x14ac:dyDescent="0.25">
      <c r="A3783" s="19" t="s">
        <v>6364</v>
      </c>
    </row>
    <row r="3784" spans="1:1" x14ac:dyDescent="0.25">
      <c r="A3784" s="19" t="s">
        <v>6365</v>
      </c>
    </row>
    <row r="3785" spans="1:1" x14ac:dyDescent="0.25">
      <c r="A3785" s="19" t="s">
        <v>6366</v>
      </c>
    </row>
    <row r="3786" spans="1:1" x14ac:dyDescent="0.25">
      <c r="A3786" s="19" t="s">
        <v>6367</v>
      </c>
    </row>
    <row r="3787" spans="1:1" x14ac:dyDescent="0.25">
      <c r="A3787" s="19" t="s">
        <v>6368</v>
      </c>
    </row>
    <row r="3788" spans="1:1" x14ac:dyDescent="0.25">
      <c r="A3788" s="19" t="s">
        <v>6369</v>
      </c>
    </row>
    <row r="3789" spans="1:1" x14ac:dyDescent="0.25">
      <c r="A3789" s="19" t="s">
        <v>6370</v>
      </c>
    </row>
    <row r="3790" spans="1:1" x14ac:dyDescent="0.25">
      <c r="A3790" s="19" t="s">
        <v>6371</v>
      </c>
    </row>
    <row r="3791" spans="1:1" x14ac:dyDescent="0.25">
      <c r="A3791" s="19" t="s">
        <v>6372</v>
      </c>
    </row>
    <row r="3792" spans="1:1" x14ac:dyDescent="0.25">
      <c r="A3792" s="19" t="s">
        <v>6373</v>
      </c>
    </row>
    <row r="3793" spans="1:1" x14ac:dyDescent="0.25">
      <c r="A3793" s="19" t="s">
        <v>6374</v>
      </c>
    </row>
    <row r="3794" spans="1:1" x14ac:dyDescent="0.25">
      <c r="A3794" s="19" t="s">
        <v>6375</v>
      </c>
    </row>
    <row r="3795" spans="1:1" x14ac:dyDescent="0.25">
      <c r="A3795" s="19" t="s">
        <v>6376</v>
      </c>
    </row>
    <row r="3796" spans="1:1" x14ac:dyDescent="0.25">
      <c r="A3796" s="19" t="s">
        <v>6377</v>
      </c>
    </row>
    <row r="3797" spans="1:1" x14ac:dyDescent="0.25">
      <c r="A3797" s="19" t="s">
        <v>6378</v>
      </c>
    </row>
    <row r="3798" spans="1:1" x14ac:dyDescent="0.25">
      <c r="A3798" s="19" t="s">
        <v>6379</v>
      </c>
    </row>
    <row r="3799" spans="1:1" x14ac:dyDescent="0.25">
      <c r="A3799" s="19" t="s">
        <v>6380</v>
      </c>
    </row>
    <row r="3800" spans="1:1" x14ac:dyDescent="0.25">
      <c r="A3800" s="19" t="s">
        <v>6381</v>
      </c>
    </row>
    <row r="3801" spans="1:1" x14ac:dyDescent="0.25">
      <c r="A3801" s="19" t="s">
        <v>6382</v>
      </c>
    </row>
    <row r="3802" spans="1:1" x14ac:dyDescent="0.25">
      <c r="A3802" s="19" t="s">
        <v>6383</v>
      </c>
    </row>
    <row r="3803" spans="1:1" x14ac:dyDescent="0.25">
      <c r="A3803" s="19" t="s">
        <v>6384</v>
      </c>
    </row>
    <row r="3804" spans="1:1" x14ac:dyDescent="0.25">
      <c r="A3804" s="19" t="s">
        <v>6385</v>
      </c>
    </row>
    <row r="3805" spans="1:1" x14ac:dyDescent="0.25">
      <c r="A3805" s="19" t="s">
        <v>6386</v>
      </c>
    </row>
    <row r="3806" spans="1:1" x14ac:dyDescent="0.25">
      <c r="A3806" s="19" t="s">
        <v>6387</v>
      </c>
    </row>
    <row r="3807" spans="1:1" x14ac:dyDescent="0.25">
      <c r="A3807" s="19" t="s">
        <v>6388</v>
      </c>
    </row>
    <row r="3808" spans="1:1" x14ac:dyDescent="0.25">
      <c r="A3808" s="19" t="s">
        <v>6389</v>
      </c>
    </row>
    <row r="3809" spans="1:1" x14ac:dyDescent="0.25">
      <c r="A3809" s="19" t="s">
        <v>6390</v>
      </c>
    </row>
    <row r="3810" spans="1:1" x14ac:dyDescent="0.25">
      <c r="A3810" s="19" t="s">
        <v>6391</v>
      </c>
    </row>
    <row r="3811" spans="1:1" x14ac:dyDescent="0.25">
      <c r="A3811" s="19" t="s">
        <v>6392</v>
      </c>
    </row>
    <row r="3812" spans="1:1" x14ac:dyDescent="0.25">
      <c r="A3812" s="19" t="s">
        <v>6393</v>
      </c>
    </row>
    <row r="3813" spans="1:1" x14ac:dyDescent="0.25">
      <c r="A3813" s="19" t="s">
        <v>6394</v>
      </c>
    </row>
    <row r="3814" spans="1:1" x14ac:dyDescent="0.25">
      <c r="A3814" s="19" t="s">
        <v>6395</v>
      </c>
    </row>
    <row r="3815" spans="1:1" x14ac:dyDescent="0.25">
      <c r="A3815" s="19" t="s">
        <v>6396</v>
      </c>
    </row>
    <row r="3816" spans="1:1" x14ac:dyDescent="0.25">
      <c r="A3816" s="19" t="s">
        <v>6397</v>
      </c>
    </row>
    <row r="3817" spans="1:1" x14ac:dyDescent="0.25">
      <c r="A3817" s="19" t="s">
        <v>6398</v>
      </c>
    </row>
    <row r="3818" spans="1:1" x14ac:dyDescent="0.25">
      <c r="A3818" s="19" t="s">
        <v>6399</v>
      </c>
    </row>
    <row r="3819" spans="1:1" x14ac:dyDescent="0.25">
      <c r="A3819" s="19" t="s">
        <v>6400</v>
      </c>
    </row>
    <row r="3820" spans="1:1" x14ac:dyDescent="0.25">
      <c r="A3820" s="19" t="s">
        <v>6401</v>
      </c>
    </row>
    <row r="3821" spans="1:1" x14ac:dyDescent="0.25">
      <c r="A3821" s="19" t="s">
        <v>6402</v>
      </c>
    </row>
    <row r="3822" spans="1:1" x14ac:dyDescent="0.25">
      <c r="A3822" s="19" t="s">
        <v>6403</v>
      </c>
    </row>
    <row r="3823" spans="1:1" x14ac:dyDescent="0.25">
      <c r="A3823" s="19" t="s">
        <v>6404</v>
      </c>
    </row>
    <row r="3824" spans="1:1" x14ac:dyDescent="0.25">
      <c r="A3824" s="19" t="s">
        <v>6405</v>
      </c>
    </row>
    <row r="3825" spans="1:1" x14ac:dyDescent="0.25">
      <c r="A3825" s="19" t="s">
        <v>6406</v>
      </c>
    </row>
    <row r="3826" spans="1:1" x14ac:dyDescent="0.25">
      <c r="A3826" s="19" t="s">
        <v>6407</v>
      </c>
    </row>
    <row r="3827" spans="1:1" x14ac:dyDescent="0.25">
      <c r="A3827" s="19" t="s">
        <v>6408</v>
      </c>
    </row>
    <row r="3828" spans="1:1" x14ac:dyDescent="0.25">
      <c r="A3828" s="19" t="s">
        <v>6409</v>
      </c>
    </row>
    <row r="3829" spans="1:1" x14ac:dyDescent="0.25">
      <c r="A3829" s="19" t="s">
        <v>6410</v>
      </c>
    </row>
    <row r="3830" spans="1:1" x14ac:dyDescent="0.25">
      <c r="A3830" s="19" t="s">
        <v>6411</v>
      </c>
    </row>
    <row r="3831" spans="1:1" x14ac:dyDescent="0.25">
      <c r="A3831" s="19" t="s">
        <v>6412</v>
      </c>
    </row>
    <row r="3832" spans="1:1" x14ac:dyDescent="0.25">
      <c r="A3832" s="19" t="s">
        <v>6413</v>
      </c>
    </row>
    <row r="3833" spans="1:1" x14ac:dyDescent="0.25">
      <c r="A3833" s="19" t="s">
        <v>6414</v>
      </c>
    </row>
    <row r="3834" spans="1:1" x14ac:dyDescent="0.25">
      <c r="A3834" s="19" t="s">
        <v>6415</v>
      </c>
    </row>
    <row r="3835" spans="1:1" x14ac:dyDescent="0.25">
      <c r="A3835" s="19" t="s">
        <v>6416</v>
      </c>
    </row>
    <row r="3836" spans="1:1" x14ac:dyDescent="0.25">
      <c r="A3836" s="19" t="s">
        <v>6417</v>
      </c>
    </row>
    <row r="3837" spans="1:1" x14ac:dyDescent="0.25">
      <c r="A3837" s="19" t="s">
        <v>6418</v>
      </c>
    </row>
    <row r="3838" spans="1:1" x14ac:dyDescent="0.25">
      <c r="A3838" s="19" t="s">
        <v>6419</v>
      </c>
    </row>
    <row r="3839" spans="1:1" x14ac:dyDescent="0.25">
      <c r="A3839" s="19" t="s">
        <v>6420</v>
      </c>
    </row>
    <row r="3840" spans="1:1" x14ac:dyDescent="0.25">
      <c r="A3840" s="19" t="s">
        <v>6421</v>
      </c>
    </row>
    <row r="3841" spans="1:1" x14ac:dyDescent="0.25">
      <c r="A3841" s="19" t="s">
        <v>6422</v>
      </c>
    </row>
    <row r="3842" spans="1:1" x14ac:dyDescent="0.25">
      <c r="A3842" s="19" t="s">
        <v>6423</v>
      </c>
    </row>
    <row r="3843" spans="1:1" x14ac:dyDescent="0.25">
      <c r="A3843" s="19" t="s">
        <v>6424</v>
      </c>
    </row>
    <row r="3844" spans="1:1" x14ac:dyDescent="0.25">
      <c r="A3844" s="19" t="s">
        <v>6425</v>
      </c>
    </row>
    <row r="3845" spans="1:1" x14ac:dyDescent="0.25">
      <c r="A3845" s="19" t="s">
        <v>6426</v>
      </c>
    </row>
    <row r="3846" spans="1:1" x14ac:dyDescent="0.25">
      <c r="A3846" s="19" t="s">
        <v>6427</v>
      </c>
    </row>
    <row r="3847" spans="1:1" x14ac:dyDescent="0.25">
      <c r="A3847" s="19" t="s">
        <v>6428</v>
      </c>
    </row>
    <row r="3848" spans="1:1" x14ac:dyDescent="0.25">
      <c r="A3848" s="19" t="s">
        <v>6429</v>
      </c>
    </row>
    <row r="3849" spans="1:1" x14ac:dyDescent="0.25">
      <c r="A3849" s="19" t="s">
        <v>6430</v>
      </c>
    </row>
    <row r="3850" spans="1:1" x14ac:dyDescent="0.25">
      <c r="A3850" s="19" t="s">
        <v>6431</v>
      </c>
    </row>
    <row r="3851" spans="1:1" x14ac:dyDescent="0.25">
      <c r="A3851" s="19" t="s">
        <v>6432</v>
      </c>
    </row>
    <row r="3852" spans="1:1" x14ac:dyDescent="0.25">
      <c r="A3852" s="19" t="s">
        <v>6433</v>
      </c>
    </row>
    <row r="3853" spans="1:1" x14ac:dyDescent="0.25">
      <c r="A3853" s="19" t="s">
        <v>6434</v>
      </c>
    </row>
    <row r="3854" spans="1:1" x14ac:dyDescent="0.25">
      <c r="A3854" s="19" t="s">
        <v>6435</v>
      </c>
    </row>
    <row r="3855" spans="1:1" x14ac:dyDescent="0.25">
      <c r="A3855" s="19" t="s">
        <v>6436</v>
      </c>
    </row>
    <row r="3856" spans="1:1" x14ac:dyDescent="0.25">
      <c r="A3856" s="19" t="s">
        <v>6437</v>
      </c>
    </row>
    <row r="3857" spans="1:1" x14ac:dyDescent="0.25">
      <c r="A3857" s="19" t="s">
        <v>6438</v>
      </c>
    </row>
    <row r="3858" spans="1:1" x14ac:dyDescent="0.25">
      <c r="A3858" s="19" t="s">
        <v>6439</v>
      </c>
    </row>
    <row r="3859" spans="1:1" x14ac:dyDescent="0.25">
      <c r="A3859" s="19" t="s">
        <v>6440</v>
      </c>
    </row>
    <row r="3860" spans="1:1" x14ac:dyDescent="0.25">
      <c r="A3860" s="19" t="s">
        <v>6441</v>
      </c>
    </row>
    <row r="3861" spans="1:1" x14ac:dyDescent="0.25">
      <c r="A3861" s="19" t="s">
        <v>6442</v>
      </c>
    </row>
    <row r="3862" spans="1:1" x14ac:dyDescent="0.25">
      <c r="A3862" s="19" t="s">
        <v>6443</v>
      </c>
    </row>
    <row r="3863" spans="1:1" x14ac:dyDescent="0.25">
      <c r="A3863" s="19" t="s">
        <v>6444</v>
      </c>
    </row>
    <row r="3864" spans="1:1" x14ac:dyDescent="0.25">
      <c r="A3864" s="19" t="s">
        <v>6445</v>
      </c>
    </row>
    <row r="3865" spans="1:1" x14ac:dyDescent="0.25">
      <c r="A3865" s="19" t="s">
        <v>6446</v>
      </c>
    </row>
    <row r="3866" spans="1:1" x14ac:dyDescent="0.25">
      <c r="A3866" s="19" t="s">
        <v>6447</v>
      </c>
    </row>
    <row r="3867" spans="1:1" x14ac:dyDescent="0.25">
      <c r="A3867" s="19" t="s">
        <v>6448</v>
      </c>
    </row>
    <row r="3868" spans="1:1" x14ac:dyDescent="0.25">
      <c r="A3868" s="19" t="s">
        <v>6449</v>
      </c>
    </row>
    <row r="3869" spans="1:1" x14ac:dyDescent="0.25">
      <c r="A3869" s="19" t="s">
        <v>6450</v>
      </c>
    </row>
    <row r="3870" spans="1:1" x14ac:dyDescent="0.25">
      <c r="A3870" s="19" t="s">
        <v>6451</v>
      </c>
    </row>
    <row r="3871" spans="1:1" x14ac:dyDescent="0.25">
      <c r="A3871" s="19" t="s">
        <v>6452</v>
      </c>
    </row>
    <row r="3872" spans="1:1" x14ac:dyDescent="0.25">
      <c r="A3872" s="19" t="s">
        <v>6453</v>
      </c>
    </row>
    <row r="3873" spans="1:1" x14ac:dyDescent="0.25">
      <c r="A3873" s="19" t="s">
        <v>6454</v>
      </c>
    </row>
    <row r="3874" spans="1:1" x14ac:dyDescent="0.25">
      <c r="A3874" s="19" t="s">
        <v>6455</v>
      </c>
    </row>
    <row r="3875" spans="1:1" x14ac:dyDescent="0.25">
      <c r="A3875" s="19" t="s">
        <v>6456</v>
      </c>
    </row>
    <row r="3876" spans="1:1" x14ac:dyDescent="0.25">
      <c r="A3876" s="19" t="s">
        <v>6457</v>
      </c>
    </row>
    <row r="3877" spans="1:1" x14ac:dyDescent="0.25">
      <c r="A3877" s="19" t="s">
        <v>6458</v>
      </c>
    </row>
    <row r="3878" spans="1:1" x14ac:dyDescent="0.25">
      <c r="A3878" s="19" t="s">
        <v>6459</v>
      </c>
    </row>
    <row r="3879" spans="1:1" x14ac:dyDescent="0.25">
      <c r="A3879" s="19" t="s">
        <v>6460</v>
      </c>
    </row>
    <row r="3880" spans="1:1" x14ac:dyDescent="0.25">
      <c r="A3880" s="19" t="s">
        <v>6461</v>
      </c>
    </row>
    <row r="3881" spans="1:1" x14ac:dyDescent="0.25">
      <c r="A3881" s="19" t="s">
        <v>6462</v>
      </c>
    </row>
    <row r="3882" spans="1:1" x14ac:dyDescent="0.25">
      <c r="A3882" s="19" t="s">
        <v>6463</v>
      </c>
    </row>
    <row r="3883" spans="1:1" x14ac:dyDescent="0.25">
      <c r="A3883" s="19" t="s">
        <v>6464</v>
      </c>
    </row>
    <row r="3884" spans="1:1" x14ac:dyDescent="0.25">
      <c r="A3884" s="19" t="s">
        <v>6465</v>
      </c>
    </row>
    <row r="3885" spans="1:1" x14ac:dyDescent="0.25">
      <c r="A3885" s="19" t="s">
        <v>6466</v>
      </c>
    </row>
    <row r="3886" spans="1:1" x14ac:dyDescent="0.25">
      <c r="A3886" s="19" t="s">
        <v>6467</v>
      </c>
    </row>
    <row r="3887" spans="1:1" x14ac:dyDescent="0.25">
      <c r="A3887" s="19" t="s">
        <v>6468</v>
      </c>
    </row>
    <row r="3888" spans="1:1" x14ac:dyDescent="0.25">
      <c r="A3888" s="19" t="s">
        <v>6469</v>
      </c>
    </row>
    <row r="3889" spans="1:1" x14ac:dyDescent="0.25">
      <c r="A3889" s="19" t="s">
        <v>6470</v>
      </c>
    </row>
    <row r="3890" spans="1:1" x14ac:dyDescent="0.25">
      <c r="A3890" s="19" t="s">
        <v>6471</v>
      </c>
    </row>
    <row r="3891" spans="1:1" x14ac:dyDescent="0.25">
      <c r="A3891" s="19" t="s">
        <v>6472</v>
      </c>
    </row>
    <row r="3892" spans="1:1" x14ac:dyDescent="0.25">
      <c r="A3892" s="19" t="s">
        <v>6473</v>
      </c>
    </row>
    <row r="3893" spans="1:1" x14ac:dyDescent="0.25">
      <c r="A3893" s="19" t="s">
        <v>6474</v>
      </c>
    </row>
    <row r="3894" spans="1:1" x14ac:dyDescent="0.25">
      <c r="A3894" s="19" t="s">
        <v>6475</v>
      </c>
    </row>
    <row r="3895" spans="1:1" x14ac:dyDescent="0.25">
      <c r="A3895" s="19" t="s">
        <v>6476</v>
      </c>
    </row>
    <row r="3896" spans="1:1" x14ac:dyDescent="0.25">
      <c r="A3896" s="19" t="s">
        <v>6477</v>
      </c>
    </row>
    <row r="3897" spans="1:1" x14ac:dyDescent="0.25">
      <c r="A3897" s="19" t="s">
        <v>6478</v>
      </c>
    </row>
    <row r="3898" spans="1:1" x14ac:dyDescent="0.25">
      <c r="A3898" s="19" t="s">
        <v>6479</v>
      </c>
    </row>
    <row r="3899" spans="1:1" x14ac:dyDescent="0.25">
      <c r="A3899" s="19" t="s">
        <v>6480</v>
      </c>
    </row>
    <row r="3900" spans="1:1" x14ac:dyDescent="0.25">
      <c r="A3900" s="19" t="s">
        <v>6481</v>
      </c>
    </row>
    <row r="3901" spans="1:1" x14ac:dyDescent="0.25">
      <c r="A3901" s="19" t="s">
        <v>6482</v>
      </c>
    </row>
    <row r="3902" spans="1:1" x14ac:dyDescent="0.25">
      <c r="A3902" s="19" t="s">
        <v>6483</v>
      </c>
    </row>
    <row r="3903" spans="1:1" x14ac:dyDescent="0.25">
      <c r="A3903" s="19" t="s">
        <v>6484</v>
      </c>
    </row>
    <row r="3904" spans="1:1" x14ac:dyDescent="0.25">
      <c r="A3904" s="19" t="s">
        <v>6485</v>
      </c>
    </row>
    <row r="3905" spans="1:1" x14ac:dyDescent="0.25">
      <c r="A3905" s="19" t="s">
        <v>6486</v>
      </c>
    </row>
    <row r="3906" spans="1:1" x14ac:dyDescent="0.25">
      <c r="A3906" s="19" t="s">
        <v>6487</v>
      </c>
    </row>
    <row r="3907" spans="1:1" x14ac:dyDescent="0.25">
      <c r="A3907" s="19" t="s">
        <v>6488</v>
      </c>
    </row>
    <row r="3908" spans="1:1" x14ac:dyDescent="0.25">
      <c r="A3908" s="19" t="s">
        <v>6489</v>
      </c>
    </row>
    <row r="3909" spans="1:1" x14ac:dyDescent="0.25">
      <c r="A3909" s="19" t="s">
        <v>6490</v>
      </c>
    </row>
    <row r="3910" spans="1:1" x14ac:dyDescent="0.25">
      <c r="A3910" s="19" t="s">
        <v>6491</v>
      </c>
    </row>
    <row r="3911" spans="1:1" x14ac:dyDescent="0.25">
      <c r="A3911" s="19" t="s">
        <v>6492</v>
      </c>
    </row>
    <row r="3912" spans="1:1" x14ac:dyDescent="0.25">
      <c r="A3912" s="19" t="s">
        <v>6493</v>
      </c>
    </row>
    <row r="3913" spans="1:1" x14ac:dyDescent="0.25">
      <c r="A3913" s="19" t="s">
        <v>6494</v>
      </c>
    </row>
    <row r="3914" spans="1:1" x14ac:dyDescent="0.25">
      <c r="A3914" s="19" t="s">
        <v>6495</v>
      </c>
    </row>
    <row r="3915" spans="1:1" x14ac:dyDescent="0.25">
      <c r="A3915" s="19" t="s">
        <v>6496</v>
      </c>
    </row>
    <row r="3916" spans="1:1" x14ac:dyDescent="0.25">
      <c r="A3916" s="19" t="s">
        <v>6497</v>
      </c>
    </row>
    <row r="3917" spans="1:1" x14ac:dyDescent="0.25">
      <c r="A3917" s="19" t="s">
        <v>6498</v>
      </c>
    </row>
    <row r="3918" spans="1:1" x14ac:dyDescent="0.25">
      <c r="A3918" s="19" t="s">
        <v>6499</v>
      </c>
    </row>
    <row r="3919" spans="1:1" x14ac:dyDescent="0.25">
      <c r="A3919" s="19" t="s">
        <v>6499</v>
      </c>
    </row>
    <row r="3920" spans="1:1" x14ac:dyDescent="0.25">
      <c r="A3920" s="19" t="s">
        <v>6500</v>
      </c>
    </row>
    <row r="3921" spans="1:1" x14ac:dyDescent="0.25">
      <c r="A3921" s="19" t="s">
        <v>6501</v>
      </c>
    </row>
    <row r="3922" spans="1:1" x14ac:dyDescent="0.25">
      <c r="A3922" s="19" t="s">
        <v>6502</v>
      </c>
    </row>
    <row r="3923" spans="1:1" x14ac:dyDescent="0.25">
      <c r="A3923" s="19" t="s">
        <v>6503</v>
      </c>
    </row>
    <row r="3924" spans="1:1" x14ac:dyDescent="0.25">
      <c r="A3924" s="19" t="s">
        <v>6504</v>
      </c>
    </row>
    <row r="3925" spans="1:1" x14ac:dyDescent="0.25">
      <c r="A3925" s="19" t="s">
        <v>6505</v>
      </c>
    </row>
    <row r="3926" spans="1:1" x14ac:dyDescent="0.25">
      <c r="A3926" s="19" t="s">
        <v>6506</v>
      </c>
    </row>
    <row r="3927" spans="1:1" x14ac:dyDescent="0.25">
      <c r="A3927" s="19" t="s">
        <v>6507</v>
      </c>
    </row>
    <row r="3928" spans="1:1" x14ac:dyDescent="0.25">
      <c r="A3928" s="19" t="s">
        <v>6508</v>
      </c>
    </row>
    <row r="3929" spans="1:1" x14ac:dyDescent="0.25">
      <c r="A3929" s="19" t="s">
        <v>6509</v>
      </c>
    </row>
    <row r="3930" spans="1:1" x14ac:dyDescent="0.25">
      <c r="A3930" s="19" t="s">
        <v>6510</v>
      </c>
    </row>
    <row r="3931" spans="1:1" x14ac:dyDescent="0.25">
      <c r="A3931" s="19" t="s">
        <v>6511</v>
      </c>
    </row>
    <row r="3932" spans="1:1" x14ac:dyDescent="0.25">
      <c r="A3932" s="19" t="s">
        <v>6512</v>
      </c>
    </row>
    <row r="3933" spans="1:1" x14ac:dyDescent="0.25">
      <c r="A3933" s="19" t="s">
        <v>6513</v>
      </c>
    </row>
    <row r="3934" spans="1:1" x14ac:dyDescent="0.25">
      <c r="A3934" s="19" t="s">
        <v>6514</v>
      </c>
    </row>
    <row r="3935" spans="1:1" x14ac:dyDescent="0.25">
      <c r="A3935" s="19" t="s">
        <v>6515</v>
      </c>
    </row>
    <row r="3936" spans="1:1" x14ac:dyDescent="0.25">
      <c r="A3936" s="19" t="s">
        <v>6516</v>
      </c>
    </row>
    <row r="3937" spans="1:1" x14ac:dyDescent="0.25">
      <c r="A3937" s="19" t="s">
        <v>6517</v>
      </c>
    </row>
    <row r="3938" spans="1:1" x14ac:dyDescent="0.25">
      <c r="A3938" s="19" t="s">
        <v>6518</v>
      </c>
    </row>
    <row r="3939" spans="1:1" x14ac:dyDescent="0.25">
      <c r="A3939" s="19" t="s">
        <v>6519</v>
      </c>
    </row>
    <row r="3940" spans="1:1" x14ac:dyDescent="0.25">
      <c r="A3940" s="19" t="s">
        <v>6520</v>
      </c>
    </row>
    <row r="3941" spans="1:1" x14ac:dyDescent="0.25">
      <c r="A3941" s="19" t="s">
        <v>6521</v>
      </c>
    </row>
    <row r="3942" spans="1:1" x14ac:dyDescent="0.25">
      <c r="A3942" s="19" t="s">
        <v>6522</v>
      </c>
    </row>
    <row r="3943" spans="1:1" x14ac:dyDescent="0.25">
      <c r="A3943" s="19" t="s">
        <v>6523</v>
      </c>
    </row>
    <row r="3944" spans="1:1" x14ac:dyDescent="0.25">
      <c r="A3944" s="19" t="s">
        <v>6524</v>
      </c>
    </row>
    <row r="3945" spans="1:1" x14ac:dyDescent="0.25">
      <c r="A3945" s="19" t="s">
        <v>6525</v>
      </c>
    </row>
    <row r="3946" spans="1:1" x14ac:dyDescent="0.25">
      <c r="A3946" s="19" t="s">
        <v>6526</v>
      </c>
    </row>
    <row r="3947" spans="1:1" x14ac:dyDescent="0.25">
      <c r="A3947" s="19" t="s">
        <v>6527</v>
      </c>
    </row>
    <row r="3948" spans="1:1" x14ac:dyDescent="0.25">
      <c r="A3948" s="19" t="s">
        <v>6528</v>
      </c>
    </row>
    <row r="3949" spans="1:1" x14ac:dyDescent="0.25">
      <c r="A3949" s="19" t="s">
        <v>6529</v>
      </c>
    </row>
    <row r="3950" spans="1:1" x14ac:dyDescent="0.25">
      <c r="A3950" s="19" t="s">
        <v>6530</v>
      </c>
    </row>
    <row r="3951" spans="1:1" x14ac:dyDescent="0.25">
      <c r="A3951" s="19" t="s">
        <v>6531</v>
      </c>
    </row>
    <row r="3952" spans="1:1" x14ac:dyDescent="0.25">
      <c r="A3952" s="19" t="s">
        <v>6532</v>
      </c>
    </row>
    <row r="3953" spans="1:1" x14ac:dyDescent="0.25">
      <c r="A3953" s="19" t="s">
        <v>6533</v>
      </c>
    </row>
    <row r="3954" spans="1:1" x14ac:dyDescent="0.25">
      <c r="A3954" s="19" t="s">
        <v>6534</v>
      </c>
    </row>
    <row r="3955" spans="1:1" x14ac:dyDescent="0.25">
      <c r="A3955" s="19" t="s">
        <v>6535</v>
      </c>
    </row>
    <row r="3956" spans="1:1" x14ac:dyDescent="0.25">
      <c r="A3956" s="19" t="s">
        <v>6536</v>
      </c>
    </row>
    <row r="3957" spans="1:1" x14ac:dyDescent="0.25">
      <c r="A3957" s="19" t="s">
        <v>6537</v>
      </c>
    </row>
    <row r="3958" spans="1:1" x14ac:dyDescent="0.25">
      <c r="A3958" s="19" t="s">
        <v>6538</v>
      </c>
    </row>
    <row r="3959" spans="1:1" x14ac:dyDescent="0.25">
      <c r="A3959" s="19" t="s">
        <v>6539</v>
      </c>
    </row>
    <row r="3960" spans="1:1" x14ac:dyDescent="0.25">
      <c r="A3960" s="19" t="s">
        <v>6540</v>
      </c>
    </row>
    <row r="3961" spans="1:1" x14ac:dyDescent="0.25">
      <c r="A3961" s="19" t="s">
        <v>6541</v>
      </c>
    </row>
    <row r="3962" spans="1:1" x14ac:dyDescent="0.25">
      <c r="A3962" s="19" t="s">
        <v>6542</v>
      </c>
    </row>
    <row r="3963" spans="1:1" x14ac:dyDescent="0.25">
      <c r="A3963" s="19" t="s">
        <v>6543</v>
      </c>
    </row>
    <row r="3964" spans="1:1" x14ac:dyDescent="0.25">
      <c r="A3964" s="19" t="s">
        <v>6544</v>
      </c>
    </row>
    <row r="3965" spans="1:1" x14ac:dyDescent="0.25">
      <c r="A3965" s="19" t="s">
        <v>6545</v>
      </c>
    </row>
    <row r="3966" spans="1:1" x14ac:dyDescent="0.25">
      <c r="A3966" s="19" t="s">
        <v>6546</v>
      </c>
    </row>
    <row r="3967" spans="1:1" x14ac:dyDescent="0.25">
      <c r="A3967" s="19" t="s">
        <v>6547</v>
      </c>
    </row>
    <row r="3968" spans="1:1" x14ac:dyDescent="0.25">
      <c r="A3968" s="19" t="s">
        <v>6548</v>
      </c>
    </row>
    <row r="3969" spans="1:1" x14ac:dyDescent="0.25">
      <c r="A3969" s="19" t="s">
        <v>6549</v>
      </c>
    </row>
    <row r="3970" spans="1:1" x14ac:dyDescent="0.25">
      <c r="A3970" s="19" t="s">
        <v>6550</v>
      </c>
    </row>
    <row r="3971" spans="1:1" x14ac:dyDescent="0.25">
      <c r="A3971" s="19" t="s">
        <v>6551</v>
      </c>
    </row>
    <row r="3972" spans="1:1" x14ac:dyDescent="0.25">
      <c r="A3972" s="19" t="s">
        <v>6552</v>
      </c>
    </row>
    <row r="3973" spans="1:1" x14ac:dyDescent="0.25">
      <c r="A3973" s="19" t="s">
        <v>6553</v>
      </c>
    </row>
    <row r="3974" spans="1:1" x14ac:dyDescent="0.25">
      <c r="A3974" s="19" t="s">
        <v>6554</v>
      </c>
    </row>
    <row r="3975" spans="1:1" x14ac:dyDescent="0.25">
      <c r="A3975" s="19" t="s">
        <v>6555</v>
      </c>
    </row>
    <row r="3976" spans="1:1" x14ac:dyDescent="0.25">
      <c r="A3976" s="19" t="s">
        <v>6556</v>
      </c>
    </row>
    <row r="3977" spans="1:1" x14ac:dyDescent="0.25">
      <c r="A3977" s="19" t="s">
        <v>6557</v>
      </c>
    </row>
    <row r="3978" spans="1:1" x14ac:dyDescent="0.25">
      <c r="A3978" s="19" t="s">
        <v>6558</v>
      </c>
    </row>
    <row r="3979" spans="1:1" x14ac:dyDescent="0.25">
      <c r="A3979" s="19" t="s">
        <v>6559</v>
      </c>
    </row>
    <row r="3980" spans="1:1" x14ac:dyDescent="0.25">
      <c r="A3980" s="19" t="s">
        <v>6560</v>
      </c>
    </row>
    <row r="3981" spans="1:1" x14ac:dyDescent="0.25">
      <c r="A3981" s="19" t="s">
        <v>6561</v>
      </c>
    </row>
    <row r="3982" spans="1:1" x14ac:dyDescent="0.25">
      <c r="A3982" s="19" t="s">
        <v>6562</v>
      </c>
    </row>
    <row r="3983" spans="1:1" x14ac:dyDescent="0.25">
      <c r="A3983" s="19" t="s">
        <v>6563</v>
      </c>
    </row>
    <row r="3984" spans="1:1" x14ac:dyDescent="0.25">
      <c r="A3984" s="19" t="s">
        <v>6564</v>
      </c>
    </row>
    <row r="3985" spans="1:1" x14ac:dyDescent="0.25">
      <c r="A3985" s="19" t="s">
        <v>6565</v>
      </c>
    </row>
    <row r="3986" spans="1:1" x14ac:dyDescent="0.25">
      <c r="A3986" s="19" t="s">
        <v>6566</v>
      </c>
    </row>
    <row r="3987" spans="1:1" x14ac:dyDescent="0.25">
      <c r="A3987" s="19" t="s">
        <v>6567</v>
      </c>
    </row>
    <row r="3988" spans="1:1" x14ac:dyDescent="0.25">
      <c r="A3988" s="19" t="s">
        <v>6568</v>
      </c>
    </row>
    <row r="3989" spans="1:1" x14ac:dyDescent="0.25">
      <c r="A3989" s="19" t="s">
        <v>6569</v>
      </c>
    </row>
    <row r="3990" spans="1:1" x14ac:dyDescent="0.25">
      <c r="A3990" s="19" t="s">
        <v>6570</v>
      </c>
    </row>
    <row r="3991" spans="1:1" x14ac:dyDescent="0.25">
      <c r="A3991" s="19" t="s">
        <v>6571</v>
      </c>
    </row>
    <row r="3992" spans="1:1" x14ac:dyDescent="0.25">
      <c r="A3992" s="19" t="s">
        <v>6572</v>
      </c>
    </row>
    <row r="3993" spans="1:1" x14ac:dyDescent="0.25">
      <c r="A3993" s="19" t="s">
        <v>6573</v>
      </c>
    </row>
    <row r="3994" spans="1:1" x14ac:dyDescent="0.25">
      <c r="A3994" s="19" t="s">
        <v>6574</v>
      </c>
    </row>
    <row r="3995" spans="1:1" x14ac:dyDescent="0.25">
      <c r="A3995" s="19" t="s">
        <v>6575</v>
      </c>
    </row>
    <row r="3996" spans="1:1" x14ac:dyDescent="0.25">
      <c r="A3996" s="19" t="s">
        <v>6576</v>
      </c>
    </row>
    <row r="3997" spans="1:1" x14ac:dyDescent="0.25">
      <c r="A3997" s="19" t="s">
        <v>6577</v>
      </c>
    </row>
    <row r="3998" spans="1:1" x14ac:dyDescent="0.25">
      <c r="A3998" s="19" t="s">
        <v>6578</v>
      </c>
    </row>
    <row r="3999" spans="1:1" x14ac:dyDescent="0.25">
      <c r="A3999" s="19" t="s">
        <v>6579</v>
      </c>
    </row>
    <row r="4000" spans="1:1" x14ac:dyDescent="0.25">
      <c r="A4000" s="19" t="s">
        <v>6580</v>
      </c>
    </row>
    <row r="4001" spans="1:1" x14ac:dyDescent="0.25">
      <c r="A4001" s="19" t="s">
        <v>6581</v>
      </c>
    </row>
    <row r="4002" spans="1:1" x14ac:dyDescent="0.25">
      <c r="A4002" s="19" t="s">
        <v>6582</v>
      </c>
    </row>
    <row r="4003" spans="1:1" x14ac:dyDescent="0.25">
      <c r="A4003" s="19" t="s">
        <v>6583</v>
      </c>
    </row>
    <row r="4004" spans="1:1" x14ac:dyDescent="0.25">
      <c r="A4004" s="19" t="s">
        <v>6584</v>
      </c>
    </row>
    <row r="4005" spans="1:1" x14ac:dyDescent="0.25">
      <c r="A4005" s="19" t="s">
        <v>6585</v>
      </c>
    </row>
    <row r="4006" spans="1:1" x14ac:dyDescent="0.25">
      <c r="A4006" s="19" t="s">
        <v>6586</v>
      </c>
    </row>
    <row r="4007" spans="1:1" x14ac:dyDescent="0.25">
      <c r="A4007" s="19" t="s">
        <v>6587</v>
      </c>
    </row>
    <row r="4008" spans="1:1" x14ac:dyDescent="0.25">
      <c r="A4008" s="19" t="s">
        <v>6588</v>
      </c>
    </row>
    <row r="4009" spans="1:1" x14ac:dyDescent="0.25">
      <c r="A4009" s="19" t="s">
        <v>6589</v>
      </c>
    </row>
    <row r="4010" spans="1:1" x14ac:dyDescent="0.25">
      <c r="A4010" s="19" t="s">
        <v>6590</v>
      </c>
    </row>
    <row r="4011" spans="1:1" x14ac:dyDescent="0.25">
      <c r="A4011" s="19" t="s">
        <v>6591</v>
      </c>
    </row>
    <row r="4012" spans="1:1" x14ac:dyDescent="0.25">
      <c r="A4012" s="19" t="s">
        <v>6592</v>
      </c>
    </row>
    <row r="4013" spans="1:1" x14ac:dyDescent="0.25">
      <c r="A4013" s="19" t="s">
        <v>6593</v>
      </c>
    </row>
    <row r="4014" spans="1:1" x14ac:dyDescent="0.25">
      <c r="A4014" s="19" t="s">
        <v>6594</v>
      </c>
    </row>
    <row r="4015" spans="1:1" x14ac:dyDescent="0.25">
      <c r="A4015" s="19" t="s">
        <v>6595</v>
      </c>
    </row>
    <row r="4016" spans="1:1" x14ac:dyDescent="0.25">
      <c r="A4016" s="19" t="s">
        <v>6596</v>
      </c>
    </row>
    <row r="4017" spans="1:1" x14ac:dyDescent="0.25">
      <c r="A4017" s="19" t="s">
        <v>6597</v>
      </c>
    </row>
    <row r="4018" spans="1:1" x14ac:dyDescent="0.25">
      <c r="A4018" s="19" t="s">
        <v>6598</v>
      </c>
    </row>
    <row r="4019" spans="1:1" x14ac:dyDescent="0.25">
      <c r="A4019" s="19" t="s">
        <v>6599</v>
      </c>
    </row>
    <row r="4020" spans="1:1" x14ac:dyDescent="0.25">
      <c r="A4020" s="19" t="s">
        <v>6600</v>
      </c>
    </row>
    <row r="4021" spans="1:1" x14ac:dyDescent="0.25">
      <c r="A4021" s="19" t="s">
        <v>6601</v>
      </c>
    </row>
    <row r="4022" spans="1:1" x14ac:dyDescent="0.25">
      <c r="A4022" s="19" t="s">
        <v>6602</v>
      </c>
    </row>
    <row r="4023" spans="1:1" x14ac:dyDescent="0.25">
      <c r="A4023" s="19" t="s">
        <v>6603</v>
      </c>
    </row>
    <row r="4024" spans="1:1" x14ac:dyDescent="0.25">
      <c r="A4024" s="19" t="s">
        <v>6604</v>
      </c>
    </row>
    <row r="4025" spans="1:1" x14ac:dyDescent="0.25">
      <c r="A4025" s="19" t="s">
        <v>6605</v>
      </c>
    </row>
    <row r="4026" spans="1:1" x14ac:dyDescent="0.25">
      <c r="A4026" s="19" t="s">
        <v>6606</v>
      </c>
    </row>
    <row r="4027" spans="1:1" x14ac:dyDescent="0.25">
      <c r="A4027" s="19" t="s">
        <v>6607</v>
      </c>
    </row>
    <row r="4028" spans="1:1" x14ac:dyDescent="0.25">
      <c r="A4028" s="19" t="s">
        <v>6608</v>
      </c>
    </row>
    <row r="4029" spans="1:1" x14ac:dyDescent="0.25">
      <c r="A4029" s="19" t="s">
        <v>6609</v>
      </c>
    </row>
    <row r="4030" spans="1:1" x14ac:dyDescent="0.25">
      <c r="A4030" s="19" t="s">
        <v>6610</v>
      </c>
    </row>
    <row r="4031" spans="1:1" x14ac:dyDescent="0.25">
      <c r="A4031" s="19" t="s">
        <v>6611</v>
      </c>
    </row>
    <row r="4032" spans="1:1" x14ac:dyDescent="0.25">
      <c r="A4032" s="19" t="s">
        <v>6612</v>
      </c>
    </row>
    <row r="4033" spans="1:1" x14ac:dyDescent="0.25">
      <c r="A4033" s="19" t="s">
        <v>6613</v>
      </c>
    </row>
    <row r="4034" spans="1:1" x14ac:dyDescent="0.25">
      <c r="A4034" s="19" t="s">
        <v>6614</v>
      </c>
    </row>
    <row r="4035" spans="1:1" x14ac:dyDescent="0.25">
      <c r="A4035" s="19" t="s">
        <v>6615</v>
      </c>
    </row>
    <row r="4036" spans="1:1" x14ac:dyDescent="0.25">
      <c r="A4036" s="19" t="s">
        <v>6616</v>
      </c>
    </row>
    <row r="4037" spans="1:1" x14ac:dyDescent="0.25">
      <c r="A4037" s="19" t="s">
        <v>6617</v>
      </c>
    </row>
    <row r="4038" spans="1:1" x14ac:dyDescent="0.25">
      <c r="A4038" s="19" t="s">
        <v>6618</v>
      </c>
    </row>
    <row r="4039" spans="1:1" x14ac:dyDescent="0.25">
      <c r="A4039" s="19" t="s">
        <v>6619</v>
      </c>
    </row>
    <row r="4040" spans="1:1" x14ac:dyDescent="0.25">
      <c r="A4040" s="19" t="s">
        <v>6620</v>
      </c>
    </row>
    <row r="4041" spans="1:1" x14ac:dyDescent="0.25">
      <c r="A4041" s="19" t="s">
        <v>6621</v>
      </c>
    </row>
    <row r="4042" spans="1:1" x14ac:dyDescent="0.25">
      <c r="A4042" s="19" t="s">
        <v>6622</v>
      </c>
    </row>
    <row r="4043" spans="1:1" x14ac:dyDescent="0.25">
      <c r="A4043" s="19" t="s">
        <v>6623</v>
      </c>
    </row>
    <row r="4044" spans="1:1" x14ac:dyDescent="0.25">
      <c r="A4044" s="19" t="s">
        <v>6624</v>
      </c>
    </row>
    <row r="4045" spans="1:1" x14ac:dyDescent="0.25">
      <c r="A4045" s="19" t="s">
        <v>6625</v>
      </c>
    </row>
    <row r="4046" spans="1:1" x14ac:dyDescent="0.25">
      <c r="A4046" s="19" t="s">
        <v>6625</v>
      </c>
    </row>
    <row r="4047" spans="1:1" x14ac:dyDescent="0.25">
      <c r="A4047" s="19" t="s">
        <v>6626</v>
      </c>
    </row>
    <row r="4048" spans="1:1" x14ac:dyDescent="0.25">
      <c r="A4048" s="19" t="s">
        <v>6627</v>
      </c>
    </row>
    <row r="4049" spans="1:1" x14ac:dyDescent="0.25">
      <c r="A4049" s="19" t="s">
        <v>6628</v>
      </c>
    </row>
    <row r="4050" spans="1:1" x14ac:dyDescent="0.25">
      <c r="A4050" s="19" t="s">
        <v>6629</v>
      </c>
    </row>
    <row r="4051" spans="1:1" x14ac:dyDescent="0.25">
      <c r="A4051" s="19" t="s">
        <v>6630</v>
      </c>
    </row>
    <row r="4052" spans="1:1" x14ac:dyDescent="0.25">
      <c r="A4052" s="19" t="s">
        <v>6631</v>
      </c>
    </row>
    <row r="4053" spans="1:1" x14ac:dyDescent="0.25">
      <c r="A4053" s="19" t="s">
        <v>6632</v>
      </c>
    </row>
    <row r="4054" spans="1:1" x14ac:dyDescent="0.25">
      <c r="A4054" s="19" t="s">
        <v>6633</v>
      </c>
    </row>
    <row r="4055" spans="1:1" x14ac:dyDescent="0.25">
      <c r="A4055" s="19" t="s">
        <v>6634</v>
      </c>
    </row>
    <row r="4056" spans="1:1" x14ac:dyDescent="0.25">
      <c r="A4056" s="19" t="s">
        <v>6635</v>
      </c>
    </row>
    <row r="4057" spans="1:1" x14ac:dyDescent="0.25">
      <c r="A4057" s="19" t="s">
        <v>6636</v>
      </c>
    </row>
    <row r="4058" spans="1:1" x14ac:dyDescent="0.25">
      <c r="A4058" s="19" t="s">
        <v>6637</v>
      </c>
    </row>
    <row r="4059" spans="1:1" x14ac:dyDescent="0.25">
      <c r="A4059" s="19" t="s">
        <v>6638</v>
      </c>
    </row>
    <row r="4060" spans="1:1" x14ac:dyDescent="0.25">
      <c r="A4060" s="19" t="s">
        <v>6639</v>
      </c>
    </row>
    <row r="4061" spans="1:1" x14ac:dyDescent="0.25">
      <c r="A4061" s="19" t="s">
        <v>6640</v>
      </c>
    </row>
    <row r="4062" spans="1:1" x14ac:dyDescent="0.25">
      <c r="A4062" s="19" t="s">
        <v>6641</v>
      </c>
    </row>
    <row r="4063" spans="1:1" x14ac:dyDescent="0.25">
      <c r="A4063" s="19" t="s">
        <v>6642</v>
      </c>
    </row>
    <row r="4064" spans="1:1" x14ac:dyDescent="0.25">
      <c r="A4064" s="19" t="s">
        <v>6643</v>
      </c>
    </row>
    <row r="4065" spans="1:1" x14ac:dyDescent="0.25">
      <c r="A4065" s="19" t="s">
        <v>6644</v>
      </c>
    </row>
    <row r="4066" spans="1:1" x14ac:dyDescent="0.25">
      <c r="A4066" s="19" t="s">
        <v>6645</v>
      </c>
    </row>
    <row r="4067" spans="1:1" x14ac:dyDescent="0.25">
      <c r="A4067" s="19" t="s">
        <v>6646</v>
      </c>
    </row>
    <row r="4068" spans="1:1" x14ac:dyDescent="0.25">
      <c r="A4068" s="19" t="s">
        <v>6647</v>
      </c>
    </row>
    <row r="4069" spans="1:1" x14ac:dyDescent="0.25">
      <c r="A4069" s="19" t="s">
        <v>6648</v>
      </c>
    </row>
    <row r="4070" spans="1:1" x14ac:dyDescent="0.25">
      <c r="A4070" s="19" t="s">
        <v>6649</v>
      </c>
    </row>
    <row r="4071" spans="1:1" x14ac:dyDescent="0.25">
      <c r="A4071" s="19" t="s">
        <v>6650</v>
      </c>
    </row>
    <row r="4072" spans="1:1" x14ac:dyDescent="0.25">
      <c r="A4072" s="19" t="s">
        <v>6651</v>
      </c>
    </row>
    <row r="4073" spans="1:1" x14ac:dyDescent="0.25">
      <c r="A4073" s="19" t="s">
        <v>6652</v>
      </c>
    </row>
    <row r="4074" spans="1:1" x14ac:dyDescent="0.25">
      <c r="A4074" s="19" t="s">
        <v>6653</v>
      </c>
    </row>
    <row r="4075" spans="1:1" x14ac:dyDescent="0.25">
      <c r="A4075" s="19" t="s">
        <v>6653</v>
      </c>
    </row>
    <row r="4076" spans="1:1" x14ac:dyDescent="0.25">
      <c r="A4076" s="19" t="s">
        <v>6654</v>
      </c>
    </row>
    <row r="4077" spans="1:1" x14ac:dyDescent="0.25">
      <c r="A4077" s="19" t="s">
        <v>6655</v>
      </c>
    </row>
    <row r="4078" spans="1:1" x14ac:dyDescent="0.25">
      <c r="A4078" s="19" t="s">
        <v>6656</v>
      </c>
    </row>
    <row r="4079" spans="1:1" x14ac:dyDescent="0.25">
      <c r="A4079" s="19" t="s">
        <v>6657</v>
      </c>
    </row>
    <row r="4080" spans="1:1" x14ac:dyDescent="0.25">
      <c r="A4080" s="19" t="s">
        <v>6658</v>
      </c>
    </row>
    <row r="4081" spans="1:1" x14ac:dyDescent="0.25">
      <c r="A4081" s="19" t="s">
        <v>6659</v>
      </c>
    </row>
    <row r="4082" spans="1:1" x14ac:dyDescent="0.25">
      <c r="A4082" s="19" t="s">
        <v>6660</v>
      </c>
    </row>
    <row r="4083" spans="1:1" x14ac:dyDescent="0.25">
      <c r="A4083" s="19" t="s">
        <v>6661</v>
      </c>
    </row>
    <row r="4084" spans="1:1" x14ac:dyDescent="0.25">
      <c r="A4084" s="19" t="s">
        <v>6662</v>
      </c>
    </row>
    <row r="4085" spans="1:1" x14ac:dyDescent="0.25">
      <c r="A4085" s="19" t="s">
        <v>6663</v>
      </c>
    </row>
    <row r="4086" spans="1:1" x14ac:dyDescent="0.25">
      <c r="A4086" s="19" t="s">
        <v>6664</v>
      </c>
    </row>
    <row r="4087" spans="1:1" x14ac:dyDescent="0.25">
      <c r="A4087" s="19" t="s">
        <v>6665</v>
      </c>
    </row>
    <row r="4088" spans="1:1" x14ac:dyDescent="0.25">
      <c r="A4088" s="19" t="s">
        <v>6666</v>
      </c>
    </row>
    <row r="4089" spans="1:1" x14ac:dyDescent="0.25">
      <c r="A4089" s="19" t="s">
        <v>6667</v>
      </c>
    </row>
    <row r="4090" spans="1:1" x14ac:dyDescent="0.25">
      <c r="A4090" s="19" t="s">
        <v>6668</v>
      </c>
    </row>
    <row r="4091" spans="1:1" x14ac:dyDescent="0.25">
      <c r="A4091" s="19" t="s">
        <v>6669</v>
      </c>
    </row>
    <row r="4092" spans="1:1" x14ac:dyDescent="0.25">
      <c r="A4092" s="19" t="s">
        <v>6670</v>
      </c>
    </row>
    <row r="4093" spans="1:1" x14ac:dyDescent="0.25">
      <c r="A4093" s="19" t="s">
        <v>6671</v>
      </c>
    </row>
    <row r="4094" spans="1:1" x14ac:dyDescent="0.25">
      <c r="A4094" s="19" t="s">
        <v>6672</v>
      </c>
    </row>
    <row r="4095" spans="1:1" x14ac:dyDescent="0.25">
      <c r="A4095" s="19" t="s">
        <v>6673</v>
      </c>
    </row>
    <row r="4096" spans="1:1" x14ac:dyDescent="0.25">
      <c r="A4096" s="19" t="s">
        <v>6674</v>
      </c>
    </row>
    <row r="4097" spans="1:1" x14ac:dyDescent="0.25">
      <c r="A4097" s="19" t="s">
        <v>6675</v>
      </c>
    </row>
    <row r="4098" spans="1:1" x14ac:dyDescent="0.25">
      <c r="A4098" s="19" t="s">
        <v>6676</v>
      </c>
    </row>
    <row r="4099" spans="1:1" x14ac:dyDescent="0.25">
      <c r="A4099" s="19" t="s">
        <v>6677</v>
      </c>
    </row>
    <row r="4100" spans="1:1" x14ac:dyDescent="0.25">
      <c r="A4100" s="19" t="s">
        <v>6678</v>
      </c>
    </row>
    <row r="4101" spans="1:1" x14ac:dyDescent="0.25">
      <c r="A4101" s="19" t="s">
        <v>6679</v>
      </c>
    </row>
    <row r="4102" spans="1:1" x14ac:dyDescent="0.25">
      <c r="A4102" s="19" t="s">
        <v>6680</v>
      </c>
    </row>
    <row r="4103" spans="1:1" x14ac:dyDescent="0.25">
      <c r="A4103" s="19" t="s">
        <v>6681</v>
      </c>
    </row>
    <row r="4104" spans="1:1" x14ac:dyDescent="0.25">
      <c r="A4104" s="19" t="s">
        <v>6682</v>
      </c>
    </row>
    <row r="4105" spans="1:1" x14ac:dyDescent="0.25">
      <c r="A4105" s="19" t="s">
        <v>6683</v>
      </c>
    </row>
    <row r="4106" spans="1:1" x14ac:dyDescent="0.25">
      <c r="A4106" s="19" t="s">
        <v>6684</v>
      </c>
    </row>
    <row r="4107" spans="1:1" x14ac:dyDescent="0.25">
      <c r="A4107" s="19" t="s">
        <v>6685</v>
      </c>
    </row>
    <row r="4108" spans="1:1" x14ac:dyDescent="0.25">
      <c r="A4108" s="19" t="s">
        <v>6686</v>
      </c>
    </row>
    <row r="4109" spans="1:1" x14ac:dyDescent="0.25">
      <c r="A4109" s="19" t="s">
        <v>6687</v>
      </c>
    </row>
    <row r="4110" spans="1:1" x14ac:dyDescent="0.25">
      <c r="A4110" s="19" t="s">
        <v>6688</v>
      </c>
    </row>
    <row r="4111" spans="1:1" x14ac:dyDescent="0.25">
      <c r="A4111" s="19" t="s">
        <v>6689</v>
      </c>
    </row>
    <row r="4112" spans="1:1" x14ac:dyDescent="0.25">
      <c r="A4112" s="19" t="s">
        <v>6690</v>
      </c>
    </row>
    <row r="4113" spans="1:1" x14ac:dyDescent="0.25">
      <c r="A4113" s="19" t="s">
        <v>6691</v>
      </c>
    </row>
    <row r="4114" spans="1:1" x14ac:dyDescent="0.25">
      <c r="A4114" s="19" t="s">
        <v>6692</v>
      </c>
    </row>
    <row r="4115" spans="1:1" x14ac:dyDescent="0.25">
      <c r="A4115" s="19" t="s">
        <v>6693</v>
      </c>
    </row>
    <row r="4116" spans="1:1" x14ac:dyDescent="0.25">
      <c r="A4116" s="19" t="s">
        <v>6694</v>
      </c>
    </row>
    <row r="4117" spans="1:1" x14ac:dyDescent="0.25">
      <c r="A4117" s="19" t="s">
        <v>6695</v>
      </c>
    </row>
    <row r="4118" spans="1:1" x14ac:dyDescent="0.25">
      <c r="A4118" s="19" t="s">
        <v>6696</v>
      </c>
    </row>
    <row r="4119" spans="1:1" x14ac:dyDescent="0.25">
      <c r="A4119" s="19" t="s">
        <v>6697</v>
      </c>
    </row>
    <row r="4120" spans="1:1" x14ac:dyDescent="0.25">
      <c r="A4120" s="19" t="s">
        <v>6698</v>
      </c>
    </row>
    <row r="4121" spans="1:1" x14ac:dyDescent="0.25">
      <c r="A4121" s="19" t="s">
        <v>6699</v>
      </c>
    </row>
    <row r="4122" spans="1:1" x14ac:dyDescent="0.25">
      <c r="A4122" s="19" t="s">
        <v>6700</v>
      </c>
    </row>
    <row r="4123" spans="1:1" x14ac:dyDescent="0.25">
      <c r="A4123" s="19" t="s">
        <v>6701</v>
      </c>
    </row>
    <row r="4124" spans="1:1" x14ac:dyDescent="0.25">
      <c r="A4124" s="19" t="s">
        <v>6702</v>
      </c>
    </row>
    <row r="4125" spans="1:1" x14ac:dyDescent="0.25">
      <c r="A4125" s="19" t="s">
        <v>6703</v>
      </c>
    </row>
    <row r="4126" spans="1:1" x14ac:dyDescent="0.25">
      <c r="A4126" s="19" t="s">
        <v>6704</v>
      </c>
    </row>
    <row r="4127" spans="1:1" x14ac:dyDescent="0.25">
      <c r="A4127" s="19" t="s">
        <v>6705</v>
      </c>
    </row>
    <row r="4128" spans="1:1" x14ac:dyDescent="0.25">
      <c r="A4128" s="19" t="s">
        <v>6706</v>
      </c>
    </row>
    <row r="4129" spans="1:1" x14ac:dyDescent="0.25">
      <c r="A4129" s="19" t="s">
        <v>6707</v>
      </c>
    </row>
    <row r="4130" spans="1:1" x14ac:dyDescent="0.25">
      <c r="A4130" s="19" t="s">
        <v>6708</v>
      </c>
    </row>
    <row r="4131" spans="1:1" x14ac:dyDescent="0.25">
      <c r="A4131" s="19" t="s">
        <v>6709</v>
      </c>
    </row>
    <row r="4132" spans="1:1" x14ac:dyDescent="0.25">
      <c r="A4132" s="19" t="s">
        <v>6710</v>
      </c>
    </row>
    <row r="4133" spans="1:1" x14ac:dyDescent="0.25">
      <c r="A4133" s="19" t="s">
        <v>6711</v>
      </c>
    </row>
    <row r="4134" spans="1:1" x14ac:dyDescent="0.25">
      <c r="A4134" s="19" t="s">
        <v>6712</v>
      </c>
    </row>
    <row r="4135" spans="1:1" x14ac:dyDescent="0.25">
      <c r="A4135" s="19" t="s">
        <v>6713</v>
      </c>
    </row>
    <row r="4136" spans="1:1" x14ac:dyDescent="0.25">
      <c r="A4136" s="19" t="s">
        <v>6714</v>
      </c>
    </row>
    <row r="4137" spans="1:1" x14ac:dyDescent="0.25">
      <c r="A4137" s="19" t="s">
        <v>6715</v>
      </c>
    </row>
    <row r="4138" spans="1:1" x14ac:dyDescent="0.25">
      <c r="A4138" s="19" t="s">
        <v>6716</v>
      </c>
    </row>
    <row r="4139" spans="1:1" x14ac:dyDescent="0.25">
      <c r="A4139" s="19" t="s">
        <v>6717</v>
      </c>
    </row>
    <row r="4140" spans="1:1" x14ac:dyDescent="0.25">
      <c r="A4140" s="19" t="s">
        <v>6718</v>
      </c>
    </row>
    <row r="4141" spans="1:1" x14ac:dyDescent="0.25">
      <c r="A4141" s="19" t="s">
        <v>6719</v>
      </c>
    </row>
    <row r="4142" spans="1:1" x14ac:dyDescent="0.25">
      <c r="A4142" s="19" t="s">
        <v>6720</v>
      </c>
    </row>
    <row r="4143" spans="1:1" x14ac:dyDescent="0.25">
      <c r="A4143" s="19" t="s">
        <v>6721</v>
      </c>
    </row>
    <row r="4144" spans="1:1" x14ac:dyDescent="0.25">
      <c r="A4144" s="19" t="s">
        <v>6722</v>
      </c>
    </row>
    <row r="4145" spans="1:1" x14ac:dyDescent="0.25">
      <c r="A4145" s="19" t="s">
        <v>6723</v>
      </c>
    </row>
    <row r="4146" spans="1:1" x14ac:dyDescent="0.25">
      <c r="A4146" s="19" t="s">
        <v>6724</v>
      </c>
    </row>
    <row r="4147" spans="1:1" x14ac:dyDescent="0.25">
      <c r="A4147" s="19" t="s">
        <v>6725</v>
      </c>
    </row>
    <row r="4148" spans="1:1" x14ac:dyDescent="0.25">
      <c r="A4148" s="19" t="s">
        <v>6726</v>
      </c>
    </row>
    <row r="4149" spans="1:1" x14ac:dyDescent="0.25">
      <c r="A4149" s="19" t="s">
        <v>6727</v>
      </c>
    </row>
    <row r="4150" spans="1:1" x14ac:dyDescent="0.25">
      <c r="A4150" s="19" t="s">
        <v>6728</v>
      </c>
    </row>
    <row r="4151" spans="1:1" x14ac:dyDescent="0.25">
      <c r="A4151" s="19" t="s">
        <v>6729</v>
      </c>
    </row>
    <row r="4152" spans="1:1" x14ac:dyDescent="0.25">
      <c r="A4152" s="19" t="s">
        <v>6730</v>
      </c>
    </row>
    <row r="4153" spans="1:1" x14ac:dyDescent="0.25">
      <c r="A4153" s="19" t="s">
        <v>6731</v>
      </c>
    </row>
    <row r="4154" spans="1:1" x14ac:dyDescent="0.25">
      <c r="A4154" s="19" t="s">
        <v>6732</v>
      </c>
    </row>
    <row r="4155" spans="1:1" x14ac:dyDescent="0.25">
      <c r="A4155" s="19" t="s">
        <v>6733</v>
      </c>
    </row>
    <row r="4156" spans="1:1" x14ac:dyDescent="0.25">
      <c r="A4156" s="19" t="s">
        <v>6734</v>
      </c>
    </row>
    <row r="4157" spans="1:1" x14ac:dyDescent="0.25">
      <c r="A4157" s="19" t="s">
        <v>6735</v>
      </c>
    </row>
    <row r="4158" spans="1:1" x14ac:dyDescent="0.25">
      <c r="A4158" s="19" t="s">
        <v>6736</v>
      </c>
    </row>
    <row r="4159" spans="1:1" x14ac:dyDescent="0.25">
      <c r="A4159" s="19" t="s">
        <v>6737</v>
      </c>
    </row>
    <row r="4160" spans="1:1" x14ac:dyDescent="0.25">
      <c r="A4160" s="19" t="s">
        <v>6738</v>
      </c>
    </row>
    <row r="4161" spans="1:1" x14ac:dyDescent="0.25">
      <c r="A4161" s="19" t="s">
        <v>6739</v>
      </c>
    </row>
    <row r="4162" spans="1:1" x14ac:dyDescent="0.25">
      <c r="A4162" s="19" t="s">
        <v>6740</v>
      </c>
    </row>
    <row r="4163" spans="1:1" x14ac:dyDescent="0.25">
      <c r="A4163" s="19" t="s">
        <v>6741</v>
      </c>
    </row>
    <row r="4164" spans="1:1" x14ac:dyDescent="0.25">
      <c r="A4164" s="19" t="s">
        <v>6742</v>
      </c>
    </row>
    <row r="4165" spans="1:1" x14ac:dyDescent="0.25">
      <c r="A4165" s="19" t="s">
        <v>6743</v>
      </c>
    </row>
    <row r="4166" spans="1:1" x14ac:dyDescent="0.25">
      <c r="A4166" s="19" t="s">
        <v>6744</v>
      </c>
    </row>
    <row r="4167" spans="1:1" x14ac:dyDescent="0.25">
      <c r="A4167" s="19" t="s">
        <v>6745</v>
      </c>
    </row>
    <row r="4168" spans="1:1" x14ac:dyDescent="0.25">
      <c r="A4168" s="19" t="s">
        <v>6746</v>
      </c>
    </row>
    <row r="4169" spans="1:1" x14ac:dyDescent="0.25">
      <c r="A4169" s="19" t="s">
        <v>6747</v>
      </c>
    </row>
    <row r="4170" spans="1:1" x14ac:dyDescent="0.25">
      <c r="A4170" s="19" t="s">
        <v>6748</v>
      </c>
    </row>
    <row r="4171" spans="1:1" x14ac:dyDescent="0.25">
      <c r="A4171" s="19" t="s">
        <v>6749</v>
      </c>
    </row>
    <row r="4172" spans="1:1" x14ac:dyDescent="0.25">
      <c r="A4172" s="19" t="s">
        <v>6750</v>
      </c>
    </row>
    <row r="4173" spans="1:1" x14ac:dyDescent="0.25">
      <c r="A4173" s="19" t="s">
        <v>6751</v>
      </c>
    </row>
    <row r="4174" spans="1:1" x14ac:dyDescent="0.25">
      <c r="A4174" s="19" t="s">
        <v>6752</v>
      </c>
    </row>
    <row r="4175" spans="1:1" x14ac:dyDescent="0.25">
      <c r="A4175" s="19" t="s">
        <v>6753</v>
      </c>
    </row>
    <row r="4176" spans="1:1" x14ac:dyDescent="0.25">
      <c r="A4176" s="19" t="s">
        <v>6754</v>
      </c>
    </row>
    <row r="4177" spans="1:1" x14ac:dyDescent="0.25">
      <c r="A4177" s="19" t="s">
        <v>6755</v>
      </c>
    </row>
    <row r="4178" spans="1:1" x14ac:dyDescent="0.25">
      <c r="A4178" s="19" t="s">
        <v>6756</v>
      </c>
    </row>
    <row r="4179" spans="1:1" x14ac:dyDescent="0.25">
      <c r="A4179" s="19" t="s">
        <v>6757</v>
      </c>
    </row>
    <row r="4180" spans="1:1" x14ac:dyDescent="0.25">
      <c r="A4180" s="19" t="s">
        <v>6758</v>
      </c>
    </row>
    <row r="4181" spans="1:1" x14ac:dyDescent="0.25">
      <c r="A4181" s="19" t="s">
        <v>6759</v>
      </c>
    </row>
    <row r="4182" spans="1:1" x14ac:dyDescent="0.25">
      <c r="A4182" s="19" t="s">
        <v>6760</v>
      </c>
    </row>
    <row r="4183" spans="1:1" x14ac:dyDescent="0.25">
      <c r="A4183" s="19" t="s">
        <v>6761</v>
      </c>
    </row>
    <row r="4184" spans="1:1" x14ac:dyDescent="0.25">
      <c r="A4184" s="19" t="s">
        <v>6762</v>
      </c>
    </row>
    <row r="4185" spans="1:1" x14ac:dyDescent="0.25">
      <c r="A4185" s="19" t="s">
        <v>6763</v>
      </c>
    </row>
    <row r="4186" spans="1:1" x14ac:dyDescent="0.25">
      <c r="A4186" s="19" t="s">
        <v>6764</v>
      </c>
    </row>
    <row r="4187" spans="1:1" x14ac:dyDescent="0.25">
      <c r="A4187" s="19" t="s">
        <v>6765</v>
      </c>
    </row>
    <row r="4188" spans="1:1" x14ac:dyDescent="0.25">
      <c r="A4188" s="19" t="s">
        <v>6766</v>
      </c>
    </row>
    <row r="4189" spans="1:1" x14ac:dyDescent="0.25">
      <c r="A4189" s="19" t="s">
        <v>6767</v>
      </c>
    </row>
    <row r="4190" spans="1:1" x14ac:dyDescent="0.25">
      <c r="A4190" s="19" t="s">
        <v>6768</v>
      </c>
    </row>
    <row r="4191" spans="1:1" x14ac:dyDescent="0.25">
      <c r="A4191" s="19" t="s">
        <v>6769</v>
      </c>
    </row>
    <row r="4192" spans="1:1" x14ac:dyDescent="0.25">
      <c r="A4192" s="19" t="s">
        <v>6770</v>
      </c>
    </row>
    <row r="4193" spans="1:1" x14ac:dyDescent="0.25">
      <c r="A4193" s="19" t="s">
        <v>6771</v>
      </c>
    </row>
    <row r="4194" spans="1:1" x14ac:dyDescent="0.25">
      <c r="A4194" s="19" t="s">
        <v>6772</v>
      </c>
    </row>
    <row r="4195" spans="1:1" x14ac:dyDescent="0.25">
      <c r="A4195" s="19" t="s">
        <v>6773</v>
      </c>
    </row>
    <row r="4196" spans="1:1" x14ac:dyDescent="0.25">
      <c r="A4196" s="19" t="s">
        <v>6774</v>
      </c>
    </row>
    <row r="4197" spans="1:1" x14ac:dyDescent="0.25">
      <c r="A4197" s="19" t="s">
        <v>6775</v>
      </c>
    </row>
    <row r="4198" spans="1:1" x14ac:dyDescent="0.25">
      <c r="A4198" s="19" t="s">
        <v>6776</v>
      </c>
    </row>
    <row r="4199" spans="1:1" x14ac:dyDescent="0.25">
      <c r="A4199" s="19" t="s">
        <v>6777</v>
      </c>
    </row>
    <row r="4200" spans="1:1" x14ac:dyDescent="0.25">
      <c r="A4200" s="19" t="s">
        <v>6778</v>
      </c>
    </row>
    <row r="4201" spans="1:1" x14ac:dyDescent="0.25">
      <c r="A4201" s="19" t="s">
        <v>6779</v>
      </c>
    </row>
    <row r="4202" spans="1:1" x14ac:dyDescent="0.25">
      <c r="A4202" s="19" t="s">
        <v>6780</v>
      </c>
    </row>
    <row r="4203" spans="1:1" x14ac:dyDescent="0.25">
      <c r="A4203" s="19" t="s">
        <v>6781</v>
      </c>
    </row>
    <row r="4204" spans="1:1" x14ac:dyDescent="0.25">
      <c r="A4204" s="19" t="s">
        <v>6782</v>
      </c>
    </row>
    <row r="4205" spans="1:1" x14ac:dyDescent="0.25">
      <c r="A4205" s="19" t="s">
        <v>6783</v>
      </c>
    </row>
    <row r="4206" spans="1:1" x14ac:dyDescent="0.25">
      <c r="A4206" s="19" t="s">
        <v>6784</v>
      </c>
    </row>
    <row r="4207" spans="1:1" x14ac:dyDescent="0.25">
      <c r="A4207" s="19" t="s">
        <v>6785</v>
      </c>
    </row>
    <row r="4208" spans="1:1" x14ac:dyDescent="0.25">
      <c r="A4208" s="19" t="s">
        <v>6786</v>
      </c>
    </row>
    <row r="4209" spans="1:1" x14ac:dyDescent="0.25">
      <c r="A4209" s="19" t="s">
        <v>6787</v>
      </c>
    </row>
    <row r="4210" spans="1:1" x14ac:dyDescent="0.25">
      <c r="A4210" s="19" t="s">
        <v>6788</v>
      </c>
    </row>
    <row r="4211" spans="1:1" x14ac:dyDescent="0.25">
      <c r="A4211" s="19" t="s">
        <v>6789</v>
      </c>
    </row>
    <row r="4212" spans="1:1" x14ac:dyDescent="0.25">
      <c r="A4212" s="19" t="s">
        <v>6790</v>
      </c>
    </row>
    <row r="4213" spans="1:1" x14ac:dyDescent="0.25">
      <c r="A4213" s="19" t="s">
        <v>6791</v>
      </c>
    </row>
    <row r="4214" spans="1:1" x14ac:dyDescent="0.25">
      <c r="A4214" s="19" t="s">
        <v>6792</v>
      </c>
    </row>
    <row r="4215" spans="1:1" x14ac:dyDescent="0.25">
      <c r="A4215" s="19" t="s">
        <v>6793</v>
      </c>
    </row>
    <row r="4216" spans="1:1" x14ac:dyDescent="0.25">
      <c r="A4216" s="19" t="s">
        <v>6794</v>
      </c>
    </row>
    <row r="4217" spans="1:1" x14ac:dyDescent="0.25">
      <c r="A4217" s="19" t="s">
        <v>6795</v>
      </c>
    </row>
    <row r="4218" spans="1:1" x14ac:dyDescent="0.25">
      <c r="A4218" s="19" t="s">
        <v>6796</v>
      </c>
    </row>
    <row r="4219" spans="1:1" x14ac:dyDescent="0.25">
      <c r="A4219" s="19" t="s">
        <v>6797</v>
      </c>
    </row>
    <row r="4220" spans="1:1" x14ac:dyDescent="0.25">
      <c r="A4220" s="19" t="s">
        <v>6798</v>
      </c>
    </row>
    <row r="4221" spans="1:1" x14ac:dyDescent="0.25">
      <c r="A4221" s="19" t="s">
        <v>6799</v>
      </c>
    </row>
    <row r="4222" spans="1:1" x14ac:dyDescent="0.25">
      <c r="A4222" s="19" t="s">
        <v>6800</v>
      </c>
    </row>
    <row r="4223" spans="1:1" x14ac:dyDescent="0.25">
      <c r="A4223" s="19" t="s">
        <v>6801</v>
      </c>
    </row>
    <row r="4224" spans="1:1" x14ac:dyDescent="0.25">
      <c r="A4224" s="19" t="s">
        <v>6802</v>
      </c>
    </row>
    <row r="4225" spans="1:1" x14ac:dyDescent="0.25">
      <c r="A4225" s="19" t="s">
        <v>6803</v>
      </c>
    </row>
    <row r="4226" spans="1:1" x14ac:dyDescent="0.25">
      <c r="A4226" s="19" t="s">
        <v>6804</v>
      </c>
    </row>
    <row r="4227" spans="1:1" x14ac:dyDescent="0.25">
      <c r="A4227" s="19" t="s">
        <v>6805</v>
      </c>
    </row>
    <row r="4228" spans="1:1" x14ac:dyDescent="0.25">
      <c r="A4228" s="19" t="s">
        <v>6806</v>
      </c>
    </row>
    <row r="4229" spans="1:1" x14ac:dyDescent="0.25">
      <c r="A4229" s="19" t="s">
        <v>6807</v>
      </c>
    </row>
    <row r="4230" spans="1:1" x14ac:dyDescent="0.25">
      <c r="A4230" s="19" t="s">
        <v>6808</v>
      </c>
    </row>
    <row r="4231" spans="1:1" x14ac:dyDescent="0.25">
      <c r="A4231" s="19" t="s">
        <v>6809</v>
      </c>
    </row>
    <row r="4232" spans="1:1" x14ac:dyDescent="0.25">
      <c r="A4232" s="19" t="s">
        <v>6810</v>
      </c>
    </row>
    <row r="4233" spans="1:1" x14ac:dyDescent="0.25">
      <c r="A4233" s="19" t="s">
        <v>6811</v>
      </c>
    </row>
    <row r="4234" spans="1:1" x14ac:dyDescent="0.25">
      <c r="A4234" s="19" t="s">
        <v>6812</v>
      </c>
    </row>
    <row r="4235" spans="1:1" x14ac:dyDescent="0.25">
      <c r="A4235" s="19" t="s">
        <v>6813</v>
      </c>
    </row>
    <row r="4236" spans="1:1" x14ac:dyDescent="0.25">
      <c r="A4236" s="19" t="s">
        <v>6814</v>
      </c>
    </row>
    <row r="4237" spans="1:1" x14ac:dyDescent="0.25">
      <c r="A4237" s="19" t="s">
        <v>6815</v>
      </c>
    </row>
    <row r="4238" spans="1:1" x14ac:dyDescent="0.25">
      <c r="A4238" s="19" t="s">
        <v>6816</v>
      </c>
    </row>
    <row r="4239" spans="1:1" x14ac:dyDescent="0.25">
      <c r="A4239" s="19" t="s">
        <v>6817</v>
      </c>
    </row>
    <row r="4240" spans="1:1" x14ac:dyDescent="0.25">
      <c r="A4240" s="19" t="s">
        <v>6818</v>
      </c>
    </row>
    <row r="4241" spans="1:1" x14ac:dyDescent="0.25">
      <c r="A4241" s="19" t="s">
        <v>6819</v>
      </c>
    </row>
    <row r="4242" spans="1:1" x14ac:dyDescent="0.25">
      <c r="A4242" s="19" t="s">
        <v>6820</v>
      </c>
    </row>
    <row r="4243" spans="1:1" x14ac:dyDescent="0.25">
      <c r="A4243" s="19" t="s">
        <v>6821</v>
      </c>
    </row>
    <row r="4244" spans="1:1" x14ac:dyDescent="0.25">
      <c r="A4244" s="19" t="s">
        <v>6822</v>
      </c>
    </row>
    <row r="4245" spans="1:1" x14ac:dyDescent="0.25">
      <c r="A4245" s="19" t="s">
        <v>6823</v>
      </c>
    </row>
    <row r="4246" spans="1:1" x14ac:dyDescent="0.25">
      <c r="A4246" s="19" t="s">
        <v>6824</v>
      </c>
    </row>
    <row r="4247" spans="1:1" x14ac:dyDescent="0.25">
      <c r="A4247" s="19" t="s">
        <v>6825</v>
      </c>
    </row>
    <row r="4248" spans="1:1" x14ac:dyDescent="0.25">
      <c r="A4248" s="19" t="s">
        <v>6826</v>
      </c>
    </row>
    <row r="4249" spans="1:1" x14ac:dyDescent="0.25">
      <c r="A4249" s="19" t="s">
        <v>6827</v>
      </c>
    </row>
    <row r="4250" spans="1:1" x14ac:dyDescent="0.25">
      <c r="A4250" s="19" t="s">
        <v>6828</v>
      </c>
    </row>
    <row r="4251" spans="1:1" x14ac:dyDescent="0.25">
      <c r="A4251" s="19" t="s">
        <v>6829</v>
      </c>
    </row>
    <row r="4252" spans="1:1" x14ac:dyDescent="0.25">
      <c r="A4252" s="19" t="s">
        <v>6830</v>
      </c>
    </row>
    <row r="4253" spans="1:1" x14ac:dyDescent="0.25">
      <c r="A4253" s="19" t="s">
        <v>6831</v>
      </c>
    </row>
    <row r="4254" spans="1:1" x14ac:dyDescent="0.25">
      <c r="A4254" s="19" t="s">
        <v>6831</v>
      </c>
    </row>
    <row r="4255" spans="1:1" x14ac:dyDescent="0.25">
      <c r="A4255" s="19" t="s">
        <v>6832</v>
      </c>
    </row>
    <row r="4256" spans="1:1" x14ac:dyDescent="0.25">
      <c r="A4256" s="19" t="s">
        <v>6833</v>
      </c>
    </row>
    <row r="4257" spans="1:1" x14ac:dyDescent="0.25">
      <c r="A4257" s="19" t="s">
        <v>6834</v>
      </c>
    </row>
    <row r="4258" spans="1:1" x14ac:dyDescent="0.25">
      <c r="A4258" s="19" t="s">
        <v>6835</v>
      </c>
    </row>
    <row r="4259" spans="1:1" x14ac:dyDescent="0.25">
      <c r="A4259" s="19" t="s">
        <v>6836</v>
      </c>
    </row>
    <row r="4260" spans="1:1" x14ac:dyDescent="0.25">
      <c r="A4260" s="19" t="s">
        <v>6837</v>
      </c>
    </row>
    <row r="4261" spans="1:1" x14ac:dyDescent="0.25">
      <c r="A4261" s="19" t="s">
        <v>6838</v>
      </c>
    </row>
    <row r="4262" spans="1:1" x14ac:dyDescent="0.25">
      <c r="A4262" s="19" t="s">
        <v>6839</v>
      </c>
    </row>
    <row r="4263" spans="1:1" x14ac:dyDescent="0.25">
      <c r="A4263" s="19" t="s">
        <v>6840</v>
      </c>
    </row>
    <row r="4264" spans="1:1" x14ac:dyDescent="0.25">
      <c r="A4264" s="19" t="s">
        <v>6841</v>
      </c>
    </row>
    <row r="4265" spans="1:1" x14ac:dyDescent="0.25">
      <c r="A4265" s="19" t="s">
        <v>6842</v>
      </c>
    </row>
    <row r="4266" spans="1:1" x14ac:dyDescent="0.25">
      <c r="A4266" s="19" t="s">
        <v>6843</v>
      </c>
    </row>
    <row r="4267" spans="1:1" x14ac:dyDescent="0.25">
      <c r="A4267" s="19" t="s">
        <v>6844</v>
      </c>
    </row>
    <row r="4268" spans="1:1" x14ac:dyDescent="0.25">
      <c r="A4268" s="19" t="s">
        <v>6845</v>
      </c>
    </row>
    <row r="4269" spans="1:1" x14ac:dyDescent="0.25">
      <c r="A4269" s="19" t="s">
        <v>6846</v>
      </c>
    </row>
    <row r="4270" spans="1:1" x14ac:dyDescent="0.25">
      <c r="A4270" s="19" t="s">
        <v>6847</v>
      </c>
    </row>
    <row r="4271" spans="1:1" x14ac:dyDescent="0.25">
      <c r="A4271" s="19" t="s">
        <v>6848</v>
      </c>
    </row>
    <row r="4272" spans="1:1" x14ac:dyDescent="0.25">
      <c r="A4272" s="19" t="s">
        <v>6849</v>
      </c>
    </row>
    <row r="4273" spans="1:1" x14ac:dyDescent="0.25">
      <c r="A4273" s="19" t="s">
        <v>6850</v>
      </c>
    </row>
    <row r="4274" spans="1:1" x14ac:dyDescent="0.25">
      <c r="A4274" s="19" t="s">
        <v>6851</v>
      </c>
    </row>
    <row r="4275" spans="1:1" x14ac:dyDescent="0.25">
      <c r="A4275" s="19" t="s">
        <v>6852</v>
      </c>
    </row>
    <row r="4276" spans="1:1" x14ac:dyDescent="0.25">
      <c r="A4276" s="19" t="s">
        <v>6853</v>
      </c>
    </row>
    <row r="4277" spans="1:1" x14ac:dyDescent="0.25">
      <c r="A4277" s="19" t="s">
        <v>6854</v>
      </c>
    </row>
    <row r="4278" spans="1:1" x14ac:dyDescent="0.25">
      <c r="A4278" s="19" t="s">
        <v>6855</v>
      </c>
    </row>
    <row r="4279" spans="1:1" x14ac:dyDescent="0.25">
      <c r="A4279" s="19" t="s">
        <v>6856</v>
      </c>
    </row>
    <row r="4280" spans="1:1" x14ac:dyDescent="0.25">
      <c r="A4280" s="19" t="s">
        <v>6857</v>
      </c>
    </row>
    <row r="4281" spans="1:1" x14ac:dyDescent="0.25">
      <c r="A4281" s="19" t="s">
        <v>6858</v>
      </c>
    </row>
    <row r="4282" spans="1:1" x14ac:dyDescent="0.25">
      <c r="A4282" s="19" t="s">
        <v>6859</v>
      </c>
    </row>
    <row r="4283" spans="1:1" x14ac:dyDescent="0.25">
      <c r="A4283" s="19" t="s">
        <v>6860</v>
      </c>
    </row>
    <row r="4284" spans="1:1" x14ac:dyDescent="0.25">
      <c r="A4284" s="19" t="s">
        <v>6861</v>
      </c>
    </row>
    <row r="4285" spans="1:1" x14ac:dyDescent="0.25">
      <c r="A4285" s="19" t="s">
        <v>6862</v>
      </c>
    </row>
    <row r="4286" spans="1:1" x14ac:dyDescent="0.25">
      <c r="A4286" s="19" t="s">
        <v>6863</v>
      </c>
    </row>
    <row r="4287" spans="1:1" x14ac:dyDescent="0.25">
      <c r="A4287" s="19" t="s">
        <v>6864</v>
      </c>
    </row>
    <row r="4288" spans="1:1" x14ac:dyDescent="0.25">
      <c r="A4288" s="19" t="s">
        <v>6865</v>
      </c>
    </row>
    <row r="4289" spans="1:1" x14ac:dyDescent="0.25">
      <c r="A4289" s="19" t="s">
        <v>6866</v>
      </c>
    </row>
    <row r="4290" spans="1:1" x14ac:dyDescent="0.25">
      <c r="A4290" s="19" t="s">
        <v>6867</v>
      </c>
    </row>
    <row r="4291" spans="1:1" x14ac:dyDescent="0.25">
      <c r="A4291" s="19" t="s">
        <v>6868</v>
      </c>
    </row>
    <row r="4292" spans="1:1" x14ac:dyDescent="0.25">
      <c r="A4292" s="19" t="s">
        <v>6869</v>
      </c>
    </row>
    <row r="4293" spans="1:1" x14ac:dyDescent="0.25">
      <c r="A4293" s="19" t="s">
        <v>6870</v>
      </c>
    </row>
    <row r="4294" spans="1:1" x14ac:dyDescent="0.25">
      <c r="A4294" s="19" t="s">
        <v>6871</v>
      </c>
    </row>
    <row r="4295" spans="1:1" x14ac:dyDescent="0.25">
      <c r="A4295" s="19" t="s">
        <v>6872</v>
      </c>
    </row>
    <row r="4296" spans="1:1" x14ac:dyDescent="0.25">
      <c r="A4296" s="19" t="s">
        <v>6873</v>
      </c>
    </row>
    <row r="4297" spans="1:1" x14ac:dyDescent="0.25">
      <c r="A4297" s="19" t="s">
        <v>6874</v>
      </c>
    </row>
    <row r="4298" spans="1:1" x14ac:dyDescent="0.25">
      <c r="A4298" s="19" t="s">
        <v>6875</v>
      </c>
    </row>
    <row r="4299" spans="1:1" x14ac:dyDescent="0.25">
      <c r="A4299" s="19" t="s">
        <v>6876</v>
      </c>
    </row>
    <row r="4300" spans="1:1" x14ac:dyDescent="0.25">
      <c r="A4300" s="19" t="s">
        <v>6877</v>
      </c>
    </row>
    <row r="4301" spans="1:1" x14ac:dyDescent="0.25">
      <c r="A4301" s="19" t="s">
        <v>6878</v>
      </c>
    </row>
    <row r="4302" spans="1:1" x14ac:dyDescent="0.25">
      <c r="A4302" s="19" t="s">
        <v>6879</v>
      </c>
    </row>
    <row r="4303" spans="1:1" x14ac:dyDescent="0.25">
      <c r="A4303" s="19" t="s">
        <v>6880</v>
      </c>
    </row>
    <row r="4304" spans="1:1" x14ac:dyDescent="0.25">
      <c r="A4304" s="19" t="s">
        <v>6881</v>
      </c>
    </row>
    <row r="4305" spans="1:1" x14ac:dyDescent="0.25">
      <c r="A4305" s="19" t="s">
        <v>6882</v>
      </c>
    </row>
    <row r="4306" spans="1:1" x14ac:dyDescent="0.25">
      <c r="A4306" s="19" t="s">
        <v>6883</v>
      </c>
    </row>
    <row r="4307" spans="1:1" x14ac:dyDescent="0.25">
      <c r="A4307" s="19" t="s">
        <v>6884</v>
      </c>
    </row>
    <row r="4308" spans="1:1" x14ac:dyDescent="0.25">
      <c r="A4308" s="19" t="s">
        <v>6885</v>
      </c>
    </row>
    <row r="4309" spans="1:1" x14ac:dyDescent="0.25">
      <c r="A4309" s="19" t="s">
        <v>6886</v>
      </c>
    </row>
    <row r="4310" spans="1:1" x14ac:dyDescent="0.25">
      <c r="A4310" s="19" t="s">
        <v>6887</v>
      </c>
    </row>
    <row r="4311" spans="1:1" x14ac:dyDescent="0.25">
      <c r="A4311" s="19" t="s">
        <v>6888</v>
      </c>
    </row>
    <row r="4312" spans="1:1" x14ac:dyDescent="0.25">
      <c r="A4312" s="19" t="s">
        <v>6889</v>
      </c>
    </row>
    <row r="4313" spans="1:1" x14ac:dyDescent="0.25">
      <c r="A4313" s="19" t="s">
        <v>6890</v>
      </c>
    </row>
    <row r="4314" spans="1:1" x14ac:dyDescent="0.25">
      <c r="A4314" s="19" t="s">
        <v>6891</v>
      </c>
    </row>
    <row r="4315" spans="1:1" x14ac:dyDescent="0.25">
      <c r="A4315" s="19" t="s">
        <v>6892</v>
      </c>
    </row>
    <row r="4316" spans="1:1" x14ac:dyDescent="0.25">
      <c r="A4316" s="19" t="s">
        <v>6893</v>
      </c>
    </row>
    <row r="4317" spans="1:1" x14ac:dyDescent="0.25">
      <c r="A4317" s="19" t="s">
        <v>6894</v>
      </c>
    </row>
    <row r="4318" spans="1:1" x14ac:dyDescent="0.25">
      <c r="A4318" s="19" t="s">
        <v>6895</v>
      </c>
    </row>
    <row r="4319" spans="1:1" x14ac:dyDescent="0.25">
      <c r="A4319" s="19" t="s">
        <v>6896</v>
      </c>
    </row>
    <row r="4320" spans="1:1" x14ac:dyDescent="0.25">
      <c r="A4320" s="19" t="s">
        <v>6897</v>
      </c>
    </row>
    <row r="4321" spans="1:1" x14ac:dyDescent="0.25">
      <c r="A4321" s="19" t="s">
        <v>6898</v>
      </c>
    </row>
    <row r="4322" spans="1:1" x14ac:dyDescent="0.25">
      <c r="A4322" s="19" t="s">
        <v>6899</v>
      </c>
    </row>
    <row r="4323" spans="1:1" x14ac:dyDescent="0.25">
      <c r="A4323" s="19" t="s">
        <v>6900</v>
      </c>
    </row>
    <row r="4324" spans="1:1" x14ac:dyDescent="0.25">
      <c r="A4324" s="19" t="s">
        <v>6901</v>
      </c>
    </row>
    <row r="4325" spans="1:1" x14ac:dyDescent="0.25">
      <c r="A4325" s="19" t="s">
        <v>6902</v>
      </c>
    </row>
    <row r="4326" spans="1:1" x14ac:dyDescent="0.25">
      <c r="A4326" s="19" t="s">
        <v>6903</v>
      </c>
    </row>
    <row r="4327" spans="1:1" x14ac:dyDescent="0.25">
      <c r="A4327" s="19" t="s">
        <v>6904</v>
      </c>
    </row>
    <row r="4328" spans="1:1" x14ac:dyDescent="0.25">
      <c r="A4328" s="19" t="s">
        <v>6905</v>
      </c>
    </row>
    <row r="4329" spans="1:1" x14ac:dyDescent="0.25">
      <c r="A4329" s="19" t="s">
        <v>6906</v>
      </c>
    </row>
    <row r="4330" spans="1:1" x14ac:dyDescent="0.25">
      <c r="A4330" s="19" t="s">
        <v>6907</v>
      </c>
    </row>
    <row r="4331" spans="1:1" x14ac:dyDescent="0.25">
      <c r="A4331" s="19" t="s">
        <v>6908</v>
      </c>
    </row>
    <row r="4332" spans="1:1" x14ac:dyDescent="0.25">
      <c r="A4332" s="19" t="s">
        <v>6909</v>
      </c>
    </row>
    <row r="4333" spans="1:1" x14ac:dyDescent="0.25">
      <c r="A4333" s="19" t="s">
        <v>6910</v>
      </c>
    </row>
    <row r="4334" spans="1:1" x14ac:dyDescent="0.25">
      <c r="A4334" s="19" t="s">
        <v>6911</v>
      </c>
    </row>
    <row r="4335" spans="1:1" x14ac:dyDescent="0.25">
      <c r="A4335" s="19" t="s">
        <v>6912</v>
      </c>
    </row>
    <row r="4336" spans="1:1" x14ac:dyDescent="0.25">
      <c r="A4336" s="19" t="s">
        <v>6913</v>
      </c>
    </row>
    <row r="4337" spans="1:1" x14ac:dyDescent="0.25">
      <c r="A4337" s="19" t="s">
        <v>6914</v>
      </c>
    </row>
    <row r="4338" spans="1:1" x14ac:dyDescent="0.25">
      <c r="A4338" s="19" t="s">
        <v>6915</v>
      </c>
    </row>
    <row r="4339" spans="1:1" x14ac:dyDescent="0.25">
      <c r="A4339" s="19" t="s">
        <v>6916</v>
      </c>
    </row>
    <row r="4340" spans="1:1" x14ac:dyDescent="0.25">
      <c r="A4340" s="19" t="s">
        <v>6917</v>
      </c>
    </row>
    <row r="4341" spans="1:1" x14ac:dyDescent="0.25">
      <c r="A4341" s="19" t="s">
        <v>6918</v>
      </c>
    </row>
    <row r="4342" spans="1:1" x14ac:dyDescent="0.25">
      <c r="A4342" s="19" t="s">
        <v>6919</v>
      </c>
    </row>
    <row r="4343" spans="1:1" x14ac:dyDescent="0.25">
      <c r="A4343" s="19" t="s">
        <v>6920</v>
      </c>
    </row>
    <row r="4344" spans="1:1" x14ac:dyDescent="0.25">
      <c r="A4344" s="19" t="s">
        <v>6921</v>
      </c>
    </row>
    <row r="4345" spans="1:1" x14ac:dyDescent="0.25">
      <c r="A4345" s="19" t="s">
        <v>6922</v>
      </c>
    </row>
    <row r="4346" spans="1:1" x14ac:dyDescent="0.25">
      <c r="A4346" s="19" t="s">
        <v>6923</v>
      </c>
    </row>
    <row r="4347" spans="1:1" x14ac:dyDescent="0.25">
      <c r="A4347" s="19" t="s">
        <v>6924</v>
      </c>
    </row>
    <row r="4348" spans="1:1" x14ac:dyDescent="0.25">
      <c r="A4348" s="19" t="s">
        <v>6925</v>
      </c>
    </row>
    <row r="4349" spans="1:1" x14ac:dyDescent="0.25">
      <c r="A4349" s="19" t="s">
        <v>6926</v>
      </c>
    </row>
    <row r="4350" spans="1:1" x14ac:dyDescent="0.25">
      <c r="A4350" s="19" t="s">
        <v>6927</v>
      </c>
    </row>
    <row r="4351" spans="1:1" x14ac:dyDescent="0.25">
      <c r="A4351" s="19" t="s">
        <v>6928</v>
      </c>
    </row>
    <row r="4352" spans="1:1" x14ac:dyDescent="0.25">
      <c r="A4352" s="19" t="s">
        <v>6929</v>
      </c>
    </row>
    <row r="4353" spans="1:1" x14ac:dyDescent="0.25">
      <c r="A4353" s="19" t="s">
        <v>6930</v>
      </c>
    </row>
    <row r="4354" spans="1:1" x14ac:dyDescent="0.25">
      <c r="A4354" s="19" t="s">
        <v>6931</v>
      </c>
    </row>
    <row r="4355" spans="1:1" x14ac:dyDescent="0.25">
      <c r="A4355" s="19" t="s">
        <v>6932</v>
      </c>
    </row>
    <row r="4356" spans="1:1" x14ac:dyDescent="0.25">
      <c r="A4356" s="19" t="s">
        <v>6933</v>
      </c>
    </row>
    <row r="4357" spans="1:1" x14ac:dyDescent="0.25">
      <c r="A4357" s="19" t="s">
        <v>6934</v>
      </c>
    </row>
    <row r="4358" spans="1:1" x14ac:dyDescent="0.25">
      <c r="A4358" s="19" t="s">
        <v>6935</v>
      </c>
    </row>
    <row r="4359" spans="1:1" x14ac:dyDescent="0.25">
      <c r="A4359" s="19" t="s">
        <v>6936</v>
      </c>
    </row>
    <row r="4360" spans="1:1" x14ac:dyDescent="0.25">
      <c r="A4360" s="19" t="s">
        <v>6937</v>
      </c>
    </row>
    <row r="4361" spans="1:1" x14ac:dyDescent="0.25">
      <c r="A4361" s="19" t="s">
        <v>6938</v>
      </c>
    </row>
    <row r="4362" spans="1:1" x14ac:dyDescent="0.25">
      <c r="A4362" s="19" t="s">
        <v>6939</v>
      </c>
    </row>
    <row r="4363" spans="1:1" x14ac:dyDescent="0.25">
      <c r="A4363" s="19" t="s">
        <v>6940</v>
      </c>
    </row>
    <row r="4364" spans="1:1" x14ac:dyDescent="0.25">
      <c r="A4364" s="19" t="s">
        <v>6941</v>
      </c>
    </row>
    <row r="4365" spans="1:1" x14ac:dyDescent="0.25">
      <c r="A4365" s="19" t="s">
        <v>6942</v>
      </c>
    </row>
    <row r="4366" spans="1:1" x14ac:dyDescent="0.25">
      <c r="A4366" s="19" t="s">
        <v>6943</v>
      </c>
    </row>
    <row r="4367" spans="1:1" x14ac:dyDescent="0.25">
      <c r="A4367" s="19" t="s">
        <v>6944</v>
      </c>
    </row>
    <row r="4368" spans="1:1" x14ac:dyDescent="0.25">
      <c r="A4368" s="19" t="s">
        <v>6945</v>
      </c>
    </row>
    <row r="4369" spans="1:1" x14ac:dyDescent="0.25">
      <c r="A4369" s="19" t="s">
        <v>6946</v>
      </c>
    </row>
    <row r="4370" spans="1:1" x14ac:dyDescent="0.25">
      <c r="A4370" s="19" t="s">
        <v>6947</v>
      </c>
    </row>
    <row r="4371" spans="1:1" x14ac:dyDescent="0.25">
      <c r="A4371" s="19" t="s">
        <v>6948</v>
      </c>
    </row>
    <row r="4372" spans="1:1" x14ac:dyDescent="0.25">
      <c r="A4372" s="19" t="s">
        <v>6949</v>
      </c>
    </row>
    <row r="4373" spans="1:1" x14ac:dyDescent="0.25">
      <c r="A4373" s="19" t="s">
        <v>6950</v>
      </c>
    </row>
    <row r="4374" spans="1:1" x14ac:dyDescent="0.25">
      <c r="A4374" s="19" t="s">
        <v>6951</v>
      </c>
    </row>
    <row r="4375" spans="1:1" x14ac:dyDescent="0.25">
      <c r="A4375" s="19" t="s">
        <v>6952</v>
      </c>
    </row>
    <row r="4376" spans="1:1" x14ac:dyDescent="0.25">
      <c r="A4376" s="19" t="s">
        <v>6953</v>
      </c>
    </row>
    <row r="4377" spans="1:1" x14ac:dyDescent="0.25">
      <c r="A4377" s="19" t="s">
        <v>6954</v>
      </c>
    </row>
    <row r="4378" spans="1:1" x14ac:dyDescent="0.25">
      <c r="A4378" s="19" t="s">
        <v>6955</v>
      </c>
    </row>
    <row r="4379" spans="1:1" x14ac:dyDescent="0.25">
      <c r="A4379" s="19" t="s">
        <v>6956</v>
      </c>
    </row>
    <row r="4380" spans="1:1" x14ac:dyDescent="0.25">
      <c r="A4380" s="19" t="s">
        <v>6957</v>
      </c>
    </row>
    <row r="4381" spans="1:1" x14ac:dyDescent="0.25">
      <c r="A4381" s="19" t="s">
        <v>6958</v>
      </c>
    </row>
    <row r="4382" spans="1:1" x14ac:dyDescent="0.25">
      <c r="A4382" s="19" t="s">
        <v>6959</v>
      </c>
    </row>
    <row r="4383" spans="1:1" x14ac:dyDescent="0.25">
      <c r="A4383" s="19" t="s">
        <v>6960</v>
      </c>
    </row>
    <row r="4384" spans="1:1" x14ac:dyDescent="0.25">
      <c r="A4384" s="19" t="s">
        <v>6961</v>
      </c>
    </row>
    <row r="4385" spans="1:1" x14ac:dyDescent="0.25">
      <c r="A4385" s="19" t="s">
        <v>6962</v>
      </c>
    </row>
    <row r="4386" spans="1:1" x14ac:dyDescent="0.25">
      <c r="A4386" s="19" t="s">
        <v>6963</v>
      </c>
    </row>
    <row r="4387" spans="1:1" x14ac:dyDescent="0.25">
      <c r="A4387" s="19" t="s">
        <v>6964</v>
      </c>
    </row>
    <row r="4388" spans="1:1" x14ac:dyDescent="0.25">
      <c r="A4388" s="19" t="s">
        <v>6965</v>
      </c>
    </row>
    <row r="4389" spans="1:1" x14ac:dyDescent="0.25">
      <c r="A4389" s="19" t="s">
        <v>6966</v>
      </c>
    </row>
    <row r="4390" spans="1:1" x14ac:dyDescent="0.25">
      <c r="A4390" s="19" t="s">
        <v>6967</v>
      </c>
    </row>
    <row r="4391" spans="1:1" x14ac:dyDescent="0.25">
      <c r="A4391" s="19" t="s">
        <v>6968</v>
      </c>
    </row>
    <row r="4392" spans="1:1" x14ac:dyDescent="0.25">
      <c r="A4392" s="19" t="s">
        <v>6969</v>
      </c>
    </row>
    <row r="4393" spans="1:1" x14ac:dyDescent="0.25">
      <c r="A4393" s="19" t="s">
        <v>6970</v>
      </c>
    </row>
    <row r="4394" spans="1:1" x14ac:dyDescent="0.25">
      <c r="A4394" s="19" t="s">
        <v>6971</v>
      </c>
    </row>
    <row r="4395" spans="1:1" x14ac:dyDescent="0.25">
      <c r="A4395" s="19" t="s">
        <v>6972</v>
      </c>
    </row>
    <row r="4396" spans="1:1" x14ac:dyDescent="0.25">
      <c r="A4396" s="19" t="s">
        <v>6973</v>
      </c>
    </row>
    <row r="4397" spans="1:1" x14ac:dyDescent="0.25">
      <c r="A4397" s="19" t="s">
        <v>6974</v>
      </c>
    </row>
    <row r="4398" spans="1:1" x14ac:dyDescent="0.25">
      <c r="A4398" s="19" t="s">
        <v>6975</v>
      </c>
    </row>
    <row r="4399" spans="1:1" x14ac:dyDescent="0.25">
      <c r="A4399" s="19" t="s">
        <v>6976</v>
      </c>
    </row>
    <row r="4400" spans="1:1" x14ac:dyDescent="0.25">
      <c r="A4400" s="19" t="s">
        <v>6977</v>
      </c>
    </row>
    <row r="4401" spans="1:1" x14ac:dyDescent="0.25">
      <c r="A4401" s="19" t="s">
        <v>6978</v>
      </c>
    </row>
    <row r="4402" spans="1:1" x14ac:dyDescent="0.25">
      <c r="A4402" s="19" t="s">
        <v>6979</v>
      </c>
    </row>
    <row r="4403" spans="1:1" x14ac:dyDescent="0.25">
      <c r="A4403" s="19" t="s">
        <v>6980</v>
      </c>
    </row>
    <row r="4404" spans="1:1" x14ac:dyDescent="0.25">
      <c r="A4404" s="19" t="s">
        <v>6981</v>
      </c>
    </row>
    <row r="4405" spans="1:1" x14ac:dyDescent="0.25">
      <c r="A4405" s="19" t="s">
        <v>6982</v>
      </c>
    </row>
    <row r="4406" spans="1:1" x14ac:dyDescent="0.25">
      <c r="A4406" s="19" t="s">
        <v>6983</v>
      </c>
    </row>
    <row r="4407" spans="1:1" x14ac:dyDescent="0.25">
      <c r="A4407" s="19" t="s">
        <v>6984</v>
      </c>
    </row>
    <row r="4408" spans="1:1" x14ac:dyDescent="0.25">
      <c r="A4408" s="19" t="s">
        <v>6985</v>
      </c>
    </row>
    <row r="4409" spans="1:1" x14ac:dyDescent="0.25">
      <c r="A4409" s="19" t="s">
        <v>6986</v>
      </c>
    </row>
    <row r="4410" spans="1:1" x14ac:dyDescent="0.25">
      <c r="A4410" s="19" t="s">
        <v>6987</v>
      </c>
    </row>
    <row r="4411" spans="1:1" x14ac:dyDescent="0.25">
      <c r="A4411" s="19" t="s">
        <v>6988</v>
      </c>
    </row>
    <row r="4412" spans="1:1" x14ac:dyDescent="0.25">
      <c r="A4412" s="19" t="s">
        <v>6989</v>
      </c>
    </row>
    <row r="4413" spans="1:1" x14ac:dyDescent="0.25">
      <c r="A4413" s="19" t="s">
        <v>6990</v>
      </c>
    </row>
    <row r="4414" spans="1:1" x14ac:dyDescent="0.25">
      <c r="A4414" s="19" t="s">
        <v>6991</v>
      </c>
    </row>
    <row r="4415" spans="1:1" x14ac:dyDescent="0.25">
      <c r="A4415" s="19" t="s">
        <v>6992</v>
      </c>
    </row>
    <row r="4416" spans="1:1" x14ac:dyDescent="0.25">
      <c r="A4416" s="19" t="s">
        <v>6993</v>
      </c>
    </row>
    <row r="4417" spans="1:1" x14ac:dyDescent="0.25">
      <c r="A4417" s="19" t="s">
        <v>6994</v>
      </c>
    </row>
    <row r="4418" spans="1:1" x14ac:dyDescent="0.25">
      <c r="A4418" s="19" t="s">
        <v>6995</v>
      </c>
    </row>
    <row r="4419" spans="1:1" x14ac:dyDescent="0.25">
      <c r="A4419" s="19" t="s">
        <v>6996</v>
      </c>
    </row>
    <row r="4420" spans="1:1" x14ac:dyDescent="0.25">
      <c r="A4420" s="19" t="s">
        <v>6997</v>
      </c>
    </row>
    <row r="4421" spans="1:1" x14ac:dyDescent="0.25">
      <c r="A4421" s="19" t="s">
        <v>6998</v>
      </c>
    </row>
    <row r="4422" spans="1:1" x14ac:dyDescent="0.25">
      <c r="A4422" s="19" t="s">
        <v>6999</v>
      </c>
    </row>
    <row r="4423" spans="1:1" x14ac:dyDescent="0.25">
      <c r="A4423" s="19" t="s">
        <v>7000</v>
      </c>
    </row>
    <row r="4424" spans="1:1" x14ac:dyDescent="0.25">
      <c r="A4424" s="19" t="s">
        <v>7001</v>
      </c>
    </row>
    <row r="4425" spans="1:1" x14ac:dyDescent="0.25">
      <c r="A4425" s="19" t="s">
        <v>7002</v>
      </c>
    </row>
    <row r="4426" spans="1:1" x14ac:dyDescent="0.25">
      <c r="A4426" s="19" t="s">
        <v>7003</v>
      </c>
    </row>
    <row r="4427" spans="1:1" x14ac:dyDescent="0.25">
      <c r="A4427" s="19" t="s">
        <v>7004</v>
      </c>
    </row>
    <row r="4428" spans="1:1" x14ac:dyDescent="0.25">
      <c r="A4428" s="19" t="s">
        <v>7005</v>
      </c>
    </row>
    <row r="4429" spans="1:1" x14ac:dyDescent="0.25">
      <c r="A4429" s="19" t="s">
        <v>7006</v>
      </c>
    </row>
    <row r="4430" spans="1:1" x14ac:dyDescent="0.25">
      <c r="A4430" s="19" t="s">
        <v>7007</v>
      </c>
    </row>
    <row r="4431" spans="1:1" x14ac:dyDescent="0.25">
      <c r="A4431" s="19" t="s">
        <v>7008</v>
      </c>
    </row>
    <row r="4432" spans="1:1" x14ac:dyDescent="0.25">
      <c r="A4432" s="19" t="s">
        <v>7009</v>
      </c>
    </row>
    <row r="4433" spans="1:1" x14ac:dyDescent="0.25">
      <c r="A4433" s="19" t="s">
        <v>7010</v>
      </c>
    </row>
    <row r="4434" spans="1:1" x14ac:dyDescent="0.25">
      <c r="A4434" s="19" t="s">
        <v>7011</v>
      </c>
    </row>
    <row r="4435" spans="1:1" x14ac:dyDescent="0.25">
      <c r="A4435" s="19" t="s">
        <v>7012</v>
      </c>
    </row>
    <row r="4436" spans="1:1" x14ac:dyDescent="0.25">
      <c r="A4436" s="19" t="s">
        <v>7013</v>
      </c>
    </row>
    <row r="4437" spans="1:1" x14ac:dyDescent="0.25">
      <c r="A4437" s="19" t="s">
        <v>7014</v>
      </c>
    </row>
    <row r="4438" spans="1:1" x14ac:dyDescent="0.25">
      <c r="A4438" s="19" t="s">
        <v>7015</v>
      </c>
    </row>
    <row r="4439" spans="1:1" x14ac:dyDescent="0.25">
      <c r="A4439" s="19" t="s">
        <v>7016</v>
      </c>
    </row>
    <row r="4440" spans="1:1" x14ac:dyDescent="0.25">
      <c r="A4440" s="19" t="s">
        <v>7017</v>
      </c>
    </row>
    <row r="4441" spans="1:1" x14ac:dyDescent="0.25">
      <c r="A4441" s="19" t="s">
        <v>7018</v>
      </c>
    </row>
    <row r="4442" spans="1:1" x14ac:dyDescent="0.25">
      <c r="A4442" s="19" t="s">
        <v>7019</v>
      </c>
    </row>
    <row r="4443" spans="1:1" x14ac:dyDescent="0.25">
      <c r="A4443" s="19" t="s">
        <v>7020</v>
      </c>
    </row>
    <row r="4444" spans="1:1" x14ac:dyDescent="0.25">
      <c r="A4444" s="19" t="s">
        <v>7021</v>
      </c>
    </row>
    <row r="4445" spans="1:1" x14ac:dyDescent="0.25">
      <c r="A4445" s="19" t="s">
        <v>7022</v>
      </c>
    </row>
    <row r="4446" spans="1:1" x14ac:dyDescent="0.25">
      <c r="A4446" s="19" t="s">
        <v>7023</v>
      </c>
    </row>
    <row r="4447" spans="1:1" x14ac:dyDescent="0.25">
      <c r="A4447" s="19" t="s">
        <v>7024</v>
      </c>
    </row>
    <row r="4448" spans="1:1" x14ac:dyDescent="0.25">
      <c r="A4448" s="19" t="s">
        <v>7025</v>
      </c>
    </row>
    <row r="4449" spans="1:1" x14ac:dyDescent="0.25">
      <c r="A4449" s="19" t="s">
        <v>7026</v>
      </c>
    </row>
    <row r="4450" spans="1:1" x14ac:dyDescent="0.25">
      <c r="A4450" s="19" t="s">
        <v>7027</v>
      </c>
    </row>
    <row r="4451" spans="1:1" x14ac:dyDescent="0.25">
      <c r="A4451" s="19" t="s">
        <v>7028</v>
      </c>
    </row>
    <row r="4452" spans="1:1" x14ac:dyDescent="0.25">
      <c r="A4452" s="19" t="s">
        <v>7029</v>
      </c>
    </row>
    <row r="4453" spans="1:1" x14ac:dyDescent="0.25">
      <c r="A4453" s="19" t="s">
        <v>7030</v>
      </c>
    </row>
    <row r="4454" spans="1:1" x14ac:dyDescent="0.25">
      <c r="A4454" s="19" t="s">
        <v>7031</v>
      </c>
    </row>
    <row r="4455" spans="1:1" x14ac:dyDescent="0.25">
      <c r="A4455" s="19" t="s">
        <v>7032</v>
      </c>
    </row>
    <row r="4456" spans="1:1" x14ac:dyDescent="0.25">
      <c r="A4456" s="19" t="s">
        <v>7033</v>
      </c>
    </row>
    <row r="4457" spans="1:1" x14ac:dyDescent="0.25">
      <c r="A4457" s="19" t="s">
        <v>7034</v>
      </c>
    </row>
    <row r="4458" spans="1:1" x14ac:dyDescent="0.25">
      <c r="A4458" s="19" t="s">
        <v>7035</v>
      </c>
    </row>
    <row r="4459" spans="1:1" x14ac:dyDescent="0.25">
      <c r="A4459" s="19" t="s">
        <v>7036</v>
      </c>
    </row>
    <row r="4460" spans="1:1" x14ac:dyDescent="0.25">
      <c r="A4460" s="19" t="s">
        <v>7037</v>
      </c>
    </row>
    <row r="4461" spans="1:1" x14ac:dyDescent="0.25">
      <c r="A4461" s="19" t="s">
        <v>7038</v>
      </c>
    </row>
    <row r="4462" spans="1:1" x14ac:dyDescent="0.25">
      <c r="A4462" s="19" t="s">
        <v>7039</v>
      </c>
    </row>
    <row r="4463" spans="1:1" x14ac:dyDescent="0.25">
      <c r="A4463" s="19" t="s">
        <v>7040</v>
      </c>
    </row>
    <row r="4464" spans="1:1" x14ac:dyDescent="0.25">
      <c r="A4464" s="19" t="s">
        <v>7041</v>
      </c>
    </row>
    <row r="4465" spans="1:1" x14ac:dyDescent="0.25">
      <c r="A4465" s="19" t="s">
        <v>7042</v>
      </c>
    </row>
    <row r="4466" spans="1:1" x14ac:dyDescent="0.25">
      <c r="A4466" s="19" t="s">
        <v>7043</v>
      </c>
    </row>
    <row r="4467" spans="1:1" x14ac:dyDescent="0.25">
      <c r="A4467" s="19" t="s">
        <v>7044</v>
      </c>
    </row>
    <row r="4468" spans="1:1" x14ac:dyDescent="0.25">
      <c r="A4468" s="19" t="s">
        <v>7045</v>
      </c>
    </row>
    <row r="4469" spans="1:1" x14ac:dyDescent="0.25">
      <c r="A4469" s="19" t="s">
        <v>7046</v>
      </c>
    </row>
    <row r="4470" spans="1:1" x14ac:dyDescent="0.25">
      <c r="A4470" s="19" t="s">
        <v>7047</v>
      </c>
    </row>
    <row r="4471" spans="1:1" x14ac:dyDescent="0.25">
      <c r="A4471" s="19" t="s">
        <v>7048</v>
      </c>
    </row>
    <row r="4472" spans="1:1" x14ac:dyDescent="0.25">
      <c r="A4472" s="19" t="s">
        <v>7049</v>
      </c>
    </row>
    <row r="4473" spans="1:1" x14ac:dyDescent="0.25">
      <c r="A4473" s="19" t="s">
        <v>7050</v>
      </c>
    </row>
    <row r="4474" spans="1:1" x14ac:dyDescent="0.25">
      <c r="A4474" s="19" t="s">
        <v>7051</v>
      </c>
    </row>
    <row r="4475" spans="1:1" x14ac:dyDescent="0.25">
      <c r="A4475" s="19" t="s">
        <v>7052</v>
      </c>
    </row>
    <row r="4476" spans="1:1" x14ac:dyDescent="0.25">
      <c r="A4476" s="19" t="s">
        <v>7053</v>
      </c>
    </row>
    <row r="4477" spans="1:1" x14ac:dyDescent="0.25">
      <c r="A4477" s="19" t="s">
        <v>7054</v>
      </c>
    </row>
    <row r="4478" spans="1:1" x14ac:dyDescent="0.25">
      <c r="A4478" s="19" t="s">
        <v>7055</v>
      </c>
    </row>
    <row r="4479" spans="1:1" x14ac:dyDescent="0.25">
      <c r="A4479" s="19" t="s">
        <v>7056</v>
      </c>
    </row>
    <row r="4480" spans="1:1" x14ac:dyDescent="0.25">
      <c r="A4480" s="19" t="s">
        <v>7057</v>
      </c>
    </row>
    <row r="4481" spans="1:1" x14ac:dyDescent="0.25">
      <c r="A4481" s="19" t="s">
        <v>7058</v>
      </c>
    </row>
    <row r="4482" spans="1:1" x14ac:dyDescent="0.25">
      <c r="A4482" s="19" t="s">
        <v>7059</v>
      </c>
    </row>
    <row r="4483" spans="1:1" x14ac:dyDescent="0.25">
      <c r="A4483" s="19" t="s">
        <v>7060</v>
      </c>
    </row>
    <row r="4484" spans="1:1" x14ac:dyDescent="0.25">
      <c r="A4484" s="19" t="s">
        <v>7060</v>
      </c>
    </row>
    <row r="4485" spans="1:1" x14ac:dyDescent="0.25">
      <c r="A4485" s="19" t="s">
        <v>7061</v>
      </c>
    </row>
    <row r="4486" spans="1:1" x14ac:dyDescent="0.25">
      <c r="A4486" s="19" t="s">
        <v>7062</v>
      </c>
    </row>
    <row r="4487" spans="1:1" x14ac:dyDescent="0.25">
      <c r="A4487" s="19" t="s">
        <v>7063</v>
      </c>
    </row>
    <row r="4488" spans="1:1" x14ac:dyDescent="0.25">
      <c r="A4488" s="19" t="s">
        <v>7064</v>
      </c>
    </row>
    <row r="4489" spans="1:1" x14ac:dyDescent="0.25">
      <c r="A4489" s="19" t="s">
        <v>7065</v>
      </c>
    </row>
    <row r="4490" spans="1:1" x14ac:dyDescent="0.25">
      <c r="A4490" s="19" t="s">
        <v>7066</v>
      </c>
    </row>
    <row r="4491" spans="1:1" x14ac:dyDescent="0.25">
      <c r="A4491" s="19" t="s">
        <v>7067</v>
      </c>
    </row>
    <row r="4492" spans="1:1" x14ac:dyDescent="0.25">
      <c r="A4492" s="19" t="s">
        <v>7068</v>
      </c>
    </row>
    <row r="4493" spans="1:1" x14ac:dyDescent="0.25">
      <c r="A4493" s="19" t="s">
        <v>7069</v>
      </c>
    </row>
    <row r="4494" spans="1:1" x14ac:dyDescent="0.25">
      <c r="A4494" s="19" t="s">
        <v>7070</v>
      </c>
    </row>
    <row r="4495" spans="1:1" x14ac:dyDescent="0.25">
      <c r="A4495" s="19" t="s">
        <v>7071</v>
      </c>
    </row>
    <row r="4496" spans="1:1" x14ac:dyDescent="0.25">
      <c r="A4496" s="19" t="s">
        <v>7072</v>
      </c>
    </row>
    <row r="4497" spans="1:1" x14ac:dyDescent="0.25">
      <c r="A4497" s="19" t="s">
        <v>7073</v>
      </c>
    </row>
    <row r="4498" spans="1:1" x14ac:dyDescent="0.25">
      <c r="A4498" s="19" t="s">
        <v>7074</v>
      </c>
    </row>
    <row r="4499" spans="1:1" x14ac:dyDescent="0.25">
      <c r="A4499" s="19" t="s">
        <v>7075</v>
      </c>
    </row>
    <row r="4500" spans="1:1" x14ac:dyDescent="0.25">
      <c r="A4500" s="19" t="s">
        <v>7076</v>
      </c>
    </row>
    <row r="4501" spans="1:1" x14ac:dyDescent="0.25">
      <c r="A4501" s="19" t="s">
        <v>7077</v>
      </c>
    </row>
    <row r="4502" spans="1:1" x14ac:dyDescent="0.25">
      <c r="A4502" s="19" t="s">
        <v>7078</v>
      </c>
    </row>
    <row r="4503" spans="1:1" x14ac:dyDescent="0.25">
      <c r="A4503" s="19" t="s">
        <v>7079</v>
      </c>
    </row>
    <row r="4504" spans="1:1" x14ac:dyDescent="0.25">
      <c r="A4504" s="19" t="s">
        <v>7080</v>
      </c>
    </row>
    <row r="4505" spans="1:1" x14ac:dyDescent="0.25">
      <c r="A4505" s="19" t="s">
        <v>7081</v>
      </c>
    </row>
    <row r="4506" spans="1:1" x14ac:dyDescent="0.25">
      <c r="A4506" s="19" t="s">
        <v>7082</v>
      </c>
    </row>
    <row r="4507" spans="1:1" x14ac:dyDescent="0.25">
      <c r="A4507" s="19" t="s">
        <v>7083</v>
      </c>
    </row>
    <row r="4508" spans="1:1" x14ac:dyDescent="0.25">
      <c r="A4508" s="19" t="s">
        <v>7084</v>
      </c>
    </row>
    <row r="4509" spans="1:1" x14ac:dyDescent="0.25">
      <c r="A4509" s="19" t="s">
        <v>7085</v>
      </c>
    </row>
    <row r="4510" spans="1:1" x14ac:dyDescent="0.25">
      <c r="A4510" s="19" t="s">
        <v>7086</v>
      </c>
    </row>
    <row r="4511" spans="1:1" x14ac:dyDescent="0.25">
      <c r="A4511" s="19" t="s">
        <v>7087</v>
      </c>
    </row>
    <row r="4512" spans="1:1" x14ac:dyDescent="0.25">
      <c r="A4512" s="19" t="s">
        <v>7088</v>
      </c>
    </row>
    <row r="4513" spans="1:1" x14ac:dyDescent="0.25">
      <c r="A4513" s="19" t="s">
        <v>7089</v>
      </c>
    </row>
    <row r="4514" spans="1:1" x14ac:dyDescent="0.25">
      <c r="A4514" s="19" t="s">
        <v>7090</v>
      </c>
    </row>
    <row r="4515" spans="1:1" x14ac:dyDescent="0.25">
      <c r="A4515" s="19" t="s">
        <v>7091</v>
      </c>
    </row>
    <row r="4516" spans="1:1" x14ac:dyDescent="0.25">
      <c r="A4516" s="19" t="s">
        <v>7092</v>
      </c>
    </row>
    <row r="4517" spans="1:1" x14ac:dyDescent="0.25">
      <c r="A4517" s="19" t="s">
        <v>7093</v>
      </c>
    </row>
    <row r="4518" spans="1:1" x14ac:dyDescent="0.25">
      <c r="A4518" s="19" t="s">
        <v>7094</v>
      </c>
    </row>
    <row r="4519" spans="1:1" x14ac:dyDescent="0.25">
      <c r="A4519" s="19" t="s">
        <v>7095</v>
      </c>
    </row>
    <row r="4520" spans="1:1" x14ac:dyDescent="0.25">
      <c r="A4520" s="19" t="s">
        <v>7096</v>
      </c>
    </row>
    <row r="4521" spans="1:1" x14ac:dyDescent="0.25">
      <c r="A4521" s="19" t="s">
        <v>7097</v>
      </c>
    </row>
    <row r="4522" spans="1:1" x14ac:dyDescent="0.25">
      <c r="A4522" s="19" t="s">
        <v>7098</v>
      </c>
    </row>
    <row r="4523" spans="1:1" x14ac:dyDescent="0.25">
      <c r="A4523" s="19" t="s">
        <v>7099</v>
      </c>
    </row>
    <row r="4524" spans="1:1" x14ac:dyDescent="0.25">
      <c r="A4524" s="19" t="s">
        <v>7100</v>
      </c>
    </row>
    <row r="4525" spans="1:1" x14ac:dyDescent="0.25">
      <c r="A4525" s="19" t="s">
        <v>7101</v>
      </c>
    </row>
    <row r="4526" spans="1:1" x14ac:dyDescent="0.25">
      <c r="A4526" s="19" t="s">
        <v>7102</v>
      </c>
    </row>
    <row r="4527" spans="1:1" x14ac:dyDescent="0.25">
      <c r="A4527" s="19" t="s">
        <v>7103</v>
      </c>
    </row>
    <row r="4528" spans="1:1" x14ac:dyDescent="0.25">
      <c r="A4528" s="19" t="s">
        <v>7104</v>
      </c>
    </row>
    <row r="4529" spans="1:1" x14ac:dyDescent="0.25">
      <c r="A4529" s="19" t="s">
        <v>7105</v>
      </c>
    </row>
    <row r="4530" spans="1:1" x14ac:dyDescent="0.25">
      <c r="A4530" s="19" t="s">
        <v>7106</v>
      </c>
    </row>
    <row r="4531" spans="1:1" x14ac:dyDescent="0.25">
      <c r="A4531" s="19" t="s">
        <v>7107</v>
      </c>
    </row>
    <row r="4532" spans="1:1" x14ac:dyDescent="0.25">
      <c r="A4532" s="19" t="s">
        <v>7108</v>
      </c>
    </row>
    <row r="4533" spans="1:1" x14ac:dyDescent="0.25">
      <c r="A4533" s="19" t="s">
        <v>7109</v>
      </c>
    </row>
    <row r="4534" spans="1:1" x14ac:dyDescent="0.25">
      <c r="A4534" s="19" t="s">
        <v>7110</v>
      </c>
    </row>
    <row r="4535" spans="1:1" x14ac:dyDescent="0.25">
      <c r="A4535" s="19" t="s">
        <v>7111</v>
      </c>
    </row>
    <row r="4536" spans="1:1" x14ac:dyDescent="0.25">
      <c r="A4536" s="19" t="s">
        <v>7112</v>
      </c>
    </row>
    <row r="4537" spans="1:1" x14ac:dyDescent="0.25">
      <c r="A4537" s="19" t="s">
        <v>7113</v>
      </c>
    </row>
    <row r="4538" spans="1:1" x14ac:dyDescent="0.25">
      <c r="A4538" s="19" t="s">
        <v>7114</v>
      </c>
    </row>
    <row r="4539" spans="1:1" x14ac:dyDescent="0.25">
      <c r="A4539" s="19" t="s">
        <v>7115</v>
      </c>
    </row>
    <row r="4540" spans="1:1" x14ac:dyDescent="0.25">
      <c r="A4540" s="19" t="s">
        <v>7116</v>
      </c>
    </row>
    <row r="4541" spans="1:1" x14ac:dyDescent="0.25">
      <c r="A4541" s="19" t="s">
        <v>7117</v>
      </c>
    </row>
    <row r="4542" spans="1:1" x14ac:dyDescent="0.25">
      <c r="A4542" s="19" t="s">
        <v>7118</v>
      </c>
    </row>
    <row r="4543" spans="1:1" x14ac:dyDescent="0.25">
      <c r="A4543" s="19" t="s">
        <v>7119</v>
      </c>
    </row>
    <row r="4544" spans="1:1" x14ac:dyDescent="0.25">
      <c r="A4544" s="19" t="s">
        <v>7120</v>
      </c>
    </row>
    <row r="4545" spans="1:1" x14ac:dyDescent="0.25">
      <c r="A4545" s="19" t="s">
        <v>7121</v>
      </c>
    </row>
    <row r="4546" spans="1:1" x14ac:dyDescent="0.25">
      <c r="A4546" s="19" t="s">
        <v>7122</v>
      </c>
    </row>
    <row r="4547" spans="1:1" x14ac:dyDescent="0.25">
      <c r="A4547" s="19" t="s">
        <v>7123</v>
      </c>
    </row>
    <row r="4548" spans="1:1" x14ac:dyDescent="0.25">
      <c r="A4548" s="19" t="s">
        <v>7124</v>
      </c>
    </row>
    <row r="4549" spans="1:1" x14ac:dyDescent="0.25">
      <c r="A4549" s="19" t="s">
        <v>7125</v>
      </c>
    </row>
    <row r="4550" spans="1:1" x14ac:dyDescent="0.25">
      <c r="A4550" s="19" t="s">
        <v>7126</v>
      </c>
    </row>
    <row r="4551" spans="1:1" x14ac:dyDescent="0.25">
      <c r="A4551" s="19" t="s">
        <v>7127</v>
      </c>
    </row>
    <row r="4552" spans="1:1" x14ac:dyDescent="0.25">
      <c r="A4552" s="19" t="s">
        <v>7128</v>
      </c>
    </row>
    <row r="4553" spans="1:1" x14ac:dyDescent="0.25">
      <c r="A4553" s="19" t="s">
        <v>7129</v>
      </c>
    </row>
    <row r="4554" spans="1:1" x14ac:dyDescent="0.25">
      <c r="A4554" s="19" t="s">
        <v>7130</v>
      </c>
    </row>
    <row r="4555" spans="1:1" x14ac:dyDescent="0.25">
      <c r="A4555" s="19" t="s">
        <v>7131</v>
      </c>
    </row>
    <row r="4556" spans="1:1" x14ac:dyDescent="0.25">
      <c r="A4556" s="19" t="s">
        <v>7132</v>
      </c>
    </row>
    <row r="4557" spans="1:1" x14ac:dyDescent="0.25">
      <c r="A4557" s="19" t="s">
        <v>7133</v>
      </c>
    </row>
    <row r="4558" spans="1:1" x14ac:dyDescent="0.25">
      <c r="A4558" s="19" t="s">
        <v>7134</v>
      </c>
    </row>
    <row r="4559" spans="1:1" x14ac:dyDescent="0.25">
      <c r="A4559" s="19" t="s">
        <v>7135</v>
      </c>
    </row>
    <row r="4560" spans="1:1" x14ac:dyDescent="0.25">
      <c r="A4560" s="19" t="s">
        <v>7136</v>
      </c>
    </row>
    <row r="4561" spans="1:1" x14ac:dyDescent="0.25">
      <c r="A4561" s="19" t="s">
        <v>7137</v>
      </c>
    </row>
    <row r="4562" spans="1:1" x14ac:dyDescent="0.25">
      <c r="A4562" s="19" t="s">
        <v>7138</v>
      </c>
    </row>
    <row r="4563" spans="1:1" x14ac:dyDescent="0.25">
      <c r="A4563" s="19" t="s">
        <v>7139</v>
      </c>
    </row>
    <row r="4564" spans="1:1" x14ac:dyDescent="0.25">
      <c r="A4564" s="19" t="s">
        <v>7140</v>
      </c>
    </row>
    <row r="4565" spans="1:1" x14ac:dyDescent="0.25">
      <c r="A4565" s="19" t="s">
        <v>7141</v>
      </c>
    </row>
    <row r="4566" spans="1:1" x14ac:dyDescent="0.25">
      <c r="A4566" s="19" t="s">
        <v>7142</v>
      </c>
    </row>
    <row r="4567" spans="1:1" x14ac:dyDescent="0.25">
      <c r="A4567" s="19" t="s">
        <v>7143</v>
      </c>
    </row>
    <row r="4568" spans="1:1" x14ac:dyDescent="0.25">
      <c r="A4568" s="19" t="s">
        <v>7144</v>
      </c>
    </row>
    <row r="4569" spans="1:1" x14ac:dyDescent="0.25">
      <c r="A4569" s="19" t="s">
        <v>7145</v>
      </c>
    </row>
    <row r="4570" spans="1:1" x14ac:dyDescent="0.25">
      <c r="A4570" s="19" t="s">
        <v>7146</v>
      </c>
    </row>
    <row r="4571" spans="1:1" x14ac:dyDescent="0.25">
      <c r="A4571" s="19" t="s">
        <v>7147</v>
      </c>
    </row>
    <row r="4572" spans="1:1" x14ac:dyDescent="0.25">
      <c r="A4572" s="19" t="s">
        <v>7148</v>
      </c>
    </row>
    <row r="4573" spans="1:1" x14ac:dyDescent="0.25">
      <c r="A4573" s="19" t="s">
        <v>7149</v>
      </c>
    </row>
    <row r="4574" spans="1:1" x14ac:dyDescent="0.25">
      <c r="A4574" s="19" t="s">
        <v>7150</v>
      </c>
    </row>
    <row r="4575" spans="1:1" x14ac:dyDescent="0.25">
      <c r="A4575" s="19" t="s">
        <v>7151</v>
      </c>
    </row>
    <row r="4576" spans="1:1" x14ac:dyDescent="0.25">
      <c r="A4576" s="19" t="s">
        <v>7152</v>
      </c>
    </row>
    <row r="4577" spans="1:1" x14ac:dyDescent="0.25">
      <c r="A4577" s="19" t="s">
        <v>7153</v>
      </c>
    </row>
    <row r="4578" spans="1:1" x14ac:dyDescent="0.25">
      <c r="A4578" s="19" t="s">
        <v>7154</v>
      </c>
    </row>
    <row r="4579" spans="1:1" x14ac:dyDescent="0.25">
      <c r="A4579" s="19" t="s">
        <v>7155</v>
      </c>
    </row>
    <row r="4580" spans="1:1" x14ac:dyDescent="0.25">
      <c r="A4580" s="19" t="s">
        <v>7156</v>
      </c>
    </row>
    <row r="4581" spans="1:1" x14ac:dyDescent="0.25">
      <c r="A4581" s="19" t="s">
        <v>7157</v>
      </c>
    </row>
    <row r="4582" spans="1:1" x14ac:dyDescent="0.25">
      <c r="A4582" s="19" t="s">
        <v>7158</v>
      </c>
    </row>
    <row r="4583" spans="1:1" x14ac:dyDescent="0.25">
      <c r="A4583" s="19" t="s">
        <v>7159</v>
      </c>
    </row>
    <row r="4584" spans="1:1" x14ac:dyDescent="0.25">
      <c r="A4584" s="19" t="s">
        <v>7160</v>
      </c>
    </row>
    <row r="4585" spans="1:1" x14ac:dyDescent="0.25">
      <c r="A4585" s="19" t="s">
        <v>7161</v>
      </c>
    </row>
    <row r="4586" spans="1:1" x14ac:dyDescent="0.25">
      <c r="A4586" s="19" t="s">
        <v>7162</v>
      </c>
    </row>
    <row r="4587" spans="1:1" x14ac:dyDescent="0.25">
      <c r="A4587" s="19" t="s">
        <v>7163</v>
      </c>
    </row>
    <row r="4588" spans="1:1" x14ac:dyDescent="0.25">
      <c r="A4588" s="19" t="s">
        <v>7164</v>
      </c>
    </row>
    <row r="4589" spans="1:1" x14ac:dyDescent="0.25">
      <c r="A4589" s="19" t="s">
        <v>7165</v>
      </c>
    </row>
    <row r="4590" spans="1:1" x14ac:dyDescent="0.25">
      <c r="A4590" s="19" t="s">
        <v>7166</v>
      </c>
    </row>
    <row r="4591" spans="1:1" x14ac:dyDescent="0.25">
      <c r="A4591" s="19" t="s">
        <v>7167</v>
      </c>
    </row>
    <row r="4592" spans="1:1" x14ac:dyDescent="0.25">
      <c r="A4592" s="19" t="s">
        <v>7168</v>
      </c>
    </row>
    <row r="4593" spans="1:1" x14ac:dyDescent="0.25">
      <c r="A4593" s="19" t="s">
        <v>7169</v>
      </c>
    </row>
    <row r="4594" spans="1:1" x14ac:dyDescent="0.25">
      <c r="A4594" s="19" t="s">
        <v>7170</v>
      </c>
    </row>
    <row r="4595" spans="1:1" x14ac:dyDescent="0.25">
      <c r="A4595" s="19" t="s">
        <v>7171</v>
      </c>
    </row>
    <row r="4596" spans="1:1" x14ac:dyDescent="0.25">
      <c r="A4596" s="19" t="s">
        <v>7172</v>
      </c>
    </row>
    <row r="4597" spans="1:1" x14ac:dyDescent="0.25">
      <c r="A4597" s="19" t="s">
        <v>7173</v>
      </c>
    </row>
    <row r="4598" spans="1:1" x14ac:dyDescent="0.25">
      <c r="A4598" s="19" t="s">
        <v>7174</v>
      </c>
    </row>
    <row r="4599" spans="1:1" x14ac:dyDescent="0.25">
      <c r="A4599" s="19" t="s">
        <v>7175</v>
      </c>
    </row>
    <row r="4600" spans="1:1" x14ac:dyDescent="0.25">
      <c r="A4600" s="19" t="s">
        <v>7176</v>
      </c>
    </row>
    <row r="4601" spans="1:1" x14ac:dyDescent="0.25">
      <c r="A4601" s="19" t="s">
        <v>7177</v>
      </c>
    </row>
    <row r="4602" spans="1:1" x14ac:dyDescent="0.25">
      <c r="A4602" s="19" t="s">
        <v>7178</v>
      </c>
    </row>
    <row r="4603" spans="1:1" x14ac:dyDescent="0.25">
      <c r="A4603" s="19" t="s">
        <v>7179</v>
      </c>
    </row>
    <row r="4604" spans="1:1" x14ac:dyDescent="0.25">
      <c r="A4604" s="19" t="s">
        <v>7180</v>
      </c>
    </row>
    <row r="4605" spans="1:1" x14ac:dyDescent="0.25">
      <c r="A4605" s="19" t="s">
        <v>7181</v>
      </c>
    </row>
    <row r="4606" spans="1:1" x14ac:dyDescent="0.25">
      <c r="A4606" s="19" t="s">
        <v>7182</v>
      </c>
    </row>
    <row r="4607" spans="1:1" x14ac:dyDescent="0.25">
      <c r="A4607" s="19" t="s">
        <v>7183</v>
      </c>
    </row>
    <row r="4608" spans="1:1" x14ac:dyDescent="0.25">
      <c r="A4608" s="19" t="s">
        <v>7184</v>
      </c>
    </row>
    <row r="4609" spans="1:1" x14ac:dyDescent="0.25">
      <c r="A4609" s="19" t="s">
        <v>7185</v>
      </c>
    </row>
    <row r="4610" spans="1:1" x14ac:dyDescent="0.25">
      <c r="A4610" s="19" t="s">
        <v>7186</v>
      </c>
    </row>
    <row r="4611" spans="1:1" x14ac:dyDescent="0.25">
      <c r="A4611" s="19" t="s">
        <v>7187</v>
      </c>
    </row>
    <row r="4612" spans="1:1" x14ac:dyDescent="0.25">
      <c r="A4612" s="19" t="s">
        <v>7188</v>
      </c>
    </row>
    <row r="4613" spans="1:1" x14ac:dyDescent="0.25">
      <c r="A4613" s="19" t="s">
        <v>7189</v>
      </c>
    </row>
    <row r="4614" spans="1:1" x14ac:dyDescent="0.25">
      <c r="A4614" s="19" t="s">
        <v>7190</v>
      </c>
    </row>
    <row r="4615" spans="1:1" x14ac:dyDescent="0.25">
      <c r="A4615" s="19" t="s">
        <v>7191</v>
      </c>
    </row>
    <row r="4616" spans="1:1" x14ac:dyDescent="0.25">
      <c r="A4616" s="19" t="s">
        <v>7192</v>
      </c>
    </row>
    <row r="4617" spans="1:1" x14ac:dyDescent="0.25">
      <c r="A4617" s="19" t="s">
        <v>7193</v>
      </c>
    </row>
    <row r="4618" spans="1:1" x14ac:dyDescent="0.25">
      <c r="A4618" s="19" t="s">
        <v>7194</v>
      </c>
    </row>
    <row r="4619" spans="1:1" x14ac:dyDescent="0.25">
      <c r="A4619" s="19" t="s">
        <v>7195</v>
      </c>
    </row>
    <row r="4620" spans="1:1" x14ac:dyDescent="0.25">
      <c r="A4620" s="19" t="s">
        <v>7196</v>
      </c>
    </row>
    <row r="4621" spans="1:1" x14ac:dyDescent="0.25">
      <c r="A4621" s="19" t="s">
        <v>7197</v>
      </c>
    </row>
    <row r="4622" spans="1:1" x14ac:dyDescent="0.25">
      <c r="A4622" s="19" t="s">
        <v>7198</v>
      </c>
    </row>
    <row r="4623" spans="1:1" x14ac:dyDescent="0.25">
      <c r="A4623" s="19" t="s">
        <v>7199</v>
      </c>
    </row>
    <row r="4624" spans="1:1" x14ac:dyDescent="0.25">
      <c r="A4624" s="19" t="s">
        <v>7200</v>
      </c>
    </row>
    <row r="4625" spans="1:1" x14ac:dyDescent="0.25">
      <c r="A4625" s="19" t="s">
        <v>7201</v>
      </c>
    </row>
    <row r="4626" spans="1:1" x14ac:dyDescent="0.25">
      <c r="A4626" s="19" t="s">
        <v>7202</v>
      </c>
    </row>
    <row r="4627" spans="1:1" x14ac:dyDescent="0.25">
      <c r="A4627" s="19" t="s">
        <v>7203</v>
      </c>
    </row>
    <row r="4628" spans="1:1" x14ac:dyDescent="0.25">
      <c r="A4628" s="19" t="s">
        <v>7204</v>
      </c>
    </row>
    <row r="4629" spans="1:1" x14ac:dyDescent="0.25">
      <c r="A4629" s="19" t="s">
        <v>7205</v>
      </c>
    </row>
    <row r="4630" spans="1:1" x14ac:dyDescent="0.25">
      <c r="A4630" s="19" t="s">
        <v>7206</v>
      </c>
    </row>
    <row r="4631" spans="1:1" x14ac:dyDescent="0.25">
      <c r="A4631" s="19" t="s">
        <v>7207</v>
      </c>
    </row>
    <row r="4632" spans="1:1" x14ac:dyDescent="0.25">
      <c r="A4632" s="19" t="s">
        <v>7208</v>
      </c>
    </row>
    <row r="4633" spans="1:1" x14ac:dyDescent="0.25">
      <c r="A4633" s="19" t="s">
        <v>7209</v>
      </c>
    </row>
    <row r="4634" spans="1:1" x14ac:dyDescent="0.25">
      <c r="A4634" s="19" t="s">
        <v>7210</v>
      </c>
    </row>
    <row r="4635" spans="1:1" x14ac:dyDescent="0.25">
      <c r="A4635" s="19" t="s">
        <v>7211</v>
      </c>
    </row>
    <row r="4636" spans="1:1" x14ac:dyDescent="0.25">
      <c r="A4636" s="19" t="s">
        <v>7212</v>
      </c>
    </row>
    <row r="4637" spans="1:1" x14ac:dyDescent="0.25">
      <c r="A4637" s="19" t="s">
        <v>7213</v>
      </c>
    </row>
    <row r="4638" spans="1:1" x14ac:dyDescent="0.25">
      <c r="A4638" s="19" t="s">
        <v>7214</v>
      </c>
    </row>
    <row r="4639" spans="1:1" x14ac:dyDescent="0.25">
      <c r="A4639" s="19" t="s">
        <v>7215</v>
      </c>
    </row>
    <row r="4640" spans="1:1" x14ac:dyDescent="0.25">
      <c r="A4640" s="19" t="s">
        <v>7216</v>
      </c>
    </row>
    <row r="4641" spans="1:1" x14ac:dyDescent="0.25">
      <c r="A4641" s="19" t="s">
        <v>7217</v>
      </c>
    </row>
    <row r="4642" spans="1:1" x14ac:dyDescent="0.25">
      <c r="A4642" s="19" t="s">
        <v>7218</v>
      </c>
    </row>
    <row r="4643" spans="1:1" x14ac:dyDescent="0.25">
      <c r="A4643" s="19" t="s">
        <v>7219</v>
      </c>
    </row>
    <row r="4644" spans="1:1" x14ac:dyDescent="0.25">
      <c r="A4644" s="19" t="s">
        <v>7220</v>
      </c>
    </row>
    <row r="4645" spans="1:1" x14ac:dyDescent="0.25">
      <c r="A4645" s="19" t="s">
        <v>7221</v>
      </c>
    </row>
    <row r="4646" spans="1:1" x14ac:dyDescent="0.25">
      <c r="A4646" s="19" t="s">
        <v>7222</v>
      </c>
    </row>
    <row r="4647" spans="1:1" x14ac:dyDescent="0.25">
      <c r="A4647" s="19" t="s">
        <v>7223</v>
      </c>
    </row>
    <row r="4648" spans="1:1" x14ac:dyDescent="0.25">
      <c r="A4648" s="19" t="s">
        <v>7224</v>
      </c>
    </row>
    <row r="4649" spans="1:1" x14ac:dyDescent="0.25">
      <c r="A4649" s="19" t="s">
        <v>7225</v>
      </c>
    </row>
    <row r="4650" spans="1:1" x14ac:dyDescent="0.25">
      <c r="A4650" s="19" t="s">
        <v>7226</v>
      </c>
    </row>
    <row r="4651" spans="1:1" x14ac:dyDescent="0.25">
      <c r="A4651" s="19" t="s">
        <v>7227</v>
      </c>
    </row>
    <row r="4652" spans="1:1" x14ac:dyDescent="0.25">
      <c r="A4652" s="19" t="s">
        <v>7228</v>
      </c>
    </row>
    <row r="4653" spans="1:1" x14ac:dyDescent="0.25">
      <c r="A4653" s="19" t="s">
        <v>7229</v>
      </c>
    </row>
    <row r="4654" spans="1:1" x14ac:dyDescent="0.25">
      <c r="A4654" s="19" t="s">
        <v>7230</v>
      </c>
    </row>
    <row r="4655" spans="1:1" x14ac:dyDescent="0.25">
      <c r="A4655" s="19" t="s">
        <v>7231</v>
      </c>
    </row>
    <row r="4656" spans="1:1" x14ac:dyDescent="0.25">
      <c r="A4656" s="19" t="s">
        <v>7232</v>
      </c>
    </row>
    <row r="4657" spans="1:1" x14ac:dyDescent="0.25">
      <c r="A4657" s="19" t="s">
        <v>7233</v>
      </c>
    </row>
    <row r="4658" spans="1:1" x14ac:dyDescent="0.25">
      <c r="A4658" s="19" t="s">
        <v>7234</v>
      </c>
    </row>
    <row r="4659" spans="1:1" x14ac:dyDescent="0.25">
      <c r="A4659" s="19" t="s">
        <v>7235</v>
      </c>
    </row>
    <row r="4660" spans="1:1" x14ac:dyDescent="0.25">
      <c r="A4660" s="19" t="s">
        <v>7236</v>
      </c>
    </row>
    <row r="4661" spans="1:1" x14ac:dyDescent="0.25">
      <c r="A4661" s="19" t="s">
        <v>7237</v>
      </c>
    </row>
    <row r="4662" spans="1:1" x14ac:dyDescent="0.25">
      <c r="A4662" s="19" t="s">
        <v>7238</v>
      </c>
    </row>
    <row r="4663" spans="1:1" x14ac:dyDescent="0.25">
      <c r="A4663" s="19" t="s">
        <v>7239</v>
      </c>
    </row>
    <row r="4664" spans="1:1" x14ac:dyDescent="0.25">
      <c r="A4664" s="19" t="s">
        <v>7240</v>
      </c>
    </row>
    <row r="4665" spans="1:1" x14ac:dyDescent="0.25">
      <c r="A4665" s="19" t="s">
        <v>7241</v>
      </c>
    </row>
    <row r="4666" spans="1:1" x14ac:dyDescent="0.25">
      <c r="A4666" s="19" t="s">
        <v>7242</v>
      </c>
    </row>
    <row r="4667" spans="1:1" x14ac:dyDescent="0.25">
      <c r="A4667" s="19" t="s">
        <v>7243</v>
      </c>
    </row>
    <row r="4668" spans="1:1" x14ac:dyDescent="0.25">
      <c r="A4668" s="19" t="s">
        <v>7244</v>
      </c>
    </row>
    <row r="4669" spans="1:1" x14ac:dyDescent="0.25">
      <c r="A4669" s="19" t="s">
        <v>7245</v>
      </c>
    </row>
    <row r="4670" spans="1:1" x14ac:dyDescent="0.25">
      <c r="A4670" s="19" t="s">
        <v>7246</v>
      </c>
    </row>
    <row r="4671" spans="1:1" x14ac:dyDescent="0.25">
      <c r="A4671" s="19" t="s">
        <v>7247</v>
      </c>
    </row>
    <row r="4672" spans="1:1" x14ac:dyDescent="0.25">
      <c r="A4672" s="19" t="s">
        <v>7248</v>
      </c>
    </row>
    <row r="4673" spans="1:1" x14ac:dyDescent="0.25">
      <c r="A4673" s="19" t="s">
        <v>7249</v>
      </c>
    </row>
    <row r="4674" spans="1:1" x14ac:dyDescent="0.25">
      <c r="A4674" s="19" t="s">
        <v>7250</v>
      </c>
    </row>
    <row r="4675" spans="1:1" x14ac:dyDescent="0.25">
      <c r="A4675" s="19" t="s">
        <v>7251</v>
      </c>
    </row>
    <row r="4676" spans="1:1" x14ac:dyDescent="0.25">
      <c r="A4676" s="19" t="s">
        <v>7252</v>
      </c>
    </row>
    <row r="4677" spans="1:1" x14ac:dyDescent="0.25">
      <c r="A4677" s="19" t="s">
        <v>7253</v>
      </c>
    </row>
    <row r="4678" spans="1:1" x14ac:dyDescent="0.25">
      <c r="A4678" s="19" t="s">
        <v>7254</v>
      </c>
    </row>
    <row r="4679" spans="1:1" x14ac:dyDescent="0.25">
      <c r="A4679" s="19" t="s">
        <v>7255</v>
      </c>
    </row>
    <row r="4680" spans="1:1" x14ac:dyDescent="0.25">
      <c r="A4680" s="19" t="s">
        <v>7256</v>
      </c>
    </row>
    <row r="4681" spans="1:1" x14ac:dyDescent="0.25">
      <c r="A4681" s="19" t="s">
        <v>7257</v>
      </c>
    </row>
    <row r="4682" spans="1:1" x14ac:dyDescent="0.25">
      <c r="A4682" s="19" t="s">
        <v>7258</v>
      </c>
    </row>
    <row r="4683" spans="1:1" x14ac:dyDescent="0.25">
      <c r="A4683" s="19" t="s">
        <v>7259</v>
      </c>
    </row>
    <row r="4684" spans="1:1" x14ac:dyDescent="0.25">
      <c r="A4684" s="19" t="s">
        <v>7260</v>
      </c>
    </row>
    <row r="4685" spans="1:1" x14ac:dyDescent="0.25">
      <c r="A4685" s="19" t="s">
        <v>7261</v>
      </c>
    </row>
    <row r="4686" spans="1:1" x14ac:dyDescent="0.25">
      <c r="A4686" s="19" t="s">
        <v>7262</v>
      </c>
    </row>
    <row r="4687" spans="1:1" x14ac:dyDescent="0.25">
      <c r="A4687" s="19" t="s">
        <v>7263</v>
      </c>
    </row>
    <row r="4688" spans="1:1" x14ac:dyDescent="0.25">
      <c r="A4688" s="19" t="s">
        <v>7264</v>
      </c>
    </row>
    <row r="4689" spans="1:1" x14ac:dyDescent="0.25">
      <c r="A4689" s="19" t="s">
        <v>7265</v>
      </c>
    </row>
    <row r="4690" spans="1:1" x14ac:dyDescent="0.25">
      <c r="A4690" s="19" t="s">
        <v>7266</v>
      </c>
    </row>
    <row r="4691" spans="1:1" x14ac:dyDescent="0.25">
      <c r="A4691" s="19" t="s">
        <v>7267</v>
      </c>
    </row>
    <row r="4692" spans="1:1" x14ac:dyDescent="0.25">
      <c r="A4692" s="19" t="s">
        <v>7268</v>
      </c>
    </row>
    <row r="4693" spans="1:1" x14ac:dyDescent="0.25">
      <c r="A4693" s="19" t="s">
        <v>7269</v>
      </c>
    </row>
    <row r="4694" spans="1:1" x14ac:dyDescent="0.25">
      <c r="A4694" s="19" t="s">
        <v>7270</v>
      </c>
    </row>
    <row r="4695" spans="1:1" x14ac:dyDescent="0.25">
      <c r="A4695" s="19" t="s">
        <v>7271</v>
      </c>
    </row>
    <row r="4696" spans="1:1" x14ac:dyDescent="0.25">
      <c r="A4696" s="19" t="s">
        <v>7272</v>
      </c>
    </row>
    <row r="4697" spans="1:1" x14ac:dyDescent="0.25">
      <c r="A4697" s="19" t="s">
        <v>7273</v>
      </c>
    </row>
    <row r="4698" spans="1:1" x14ac:dyDescent="0.25">
      <c r="A4698" s="19" t="s">
        <v>7274</v>
      </c>
    </row>
    <row r="4699" spans="1:1" x14ac:dyDescent="0.25">
      <c r="A4699" s="19" t="s">
        <v>7275</v>
      </c>
    </row>
    <row r="4700" spans="1:1" x14ac:dyDescent="0.25">
      <c r="A4700" s="19" t="s">
        <v>7276</v>
      </c>
    </row>
    <row r="4701" spans="1:1" x14ac:dyDescent="0.25">
      <c r="A4701" s="19" t="s">
        <v>7277</v>
      </c>
    </row>
    <row r="4702" spans="1:1" x14ac:dyDescent="0.25">
      <c r="A4702" s="19" t="s">
        <v>7278</v>
      </c>
    </row>
    <row r="4703" spans="1:1" x14ac:dyDescent="0.25">
      <c r="A4703" s="19" t="s">
        <v>7279</v>
      </c>
    </row>
    <row r="4704" spans="1:1" x14ac:dyDescent="0.25">
      <c r="A4704" s="19" t="s">
        <v>7280</v>
      </c>
    </row>
    <row r="4705" spans="1:1" x14ac:dyDescent="0.25">
      <c r="A4705" s="19" t="s">
        <v>7281</v>
      </c>
    </row>
    <row r="4706" spans="1:1" x14ac:dyDescent="0.25">
      <c r="A4706" s="19" t="s">
        <v>7282</v>
      </c>
    </row>
    <row r="4707" spans="1:1" x14ac:dyDescent="0.25">
      <c r="A4707" s="19" t="s">
        <v>7283</v>
      </c>
    </row>
    <row r="4708" spans="1:1" x14ac:dyDescent="0.25">
      <c r="A4708" s="19" t="s">
        <v>7284</v>
      </c>
    </row>
    <row r="4709" spans="1:1" x14ac:dyDescent="0.25">
      <c r="A4709" s="19" t="s">
        <v>7285</v>
      </c>
    </row>
    <row r="4710" spans="1:1" x14ac:dyDescent="0.25">
      <c r="A4710" s="19" t="s">
        <v>7286</v>
      </c>
    </row>
    <row r="4711" spans="1:1" x14ac:dyDescent="0.25">
      <c r="A4711" s="19" t="s">
        <v>7287</v>
      </c>
    </row>
    <row r="4712" spans="1:1" x14ac:dyDescent="0.25">
      <c r="A4712" s="19" t="s">
        <v>7288</v>
      </c>
    </row>
    <row r="4713" spans="1:1" x14ac:dyDescent="0.25">
      <c r="A4713" s="19" t="s">
        <v>7289</v>
      </c>
    </row>
    <row r="4714" spans="1:1" x14ac:dyDescent="0.25">
      <c r="A4714" s="19" t="s">
        <v>7290</v>
      </c>
    </row>
    <row r="4715" spans="1:1" x14ac:dyDescent="0.25">
      <c r="A4715" s="19" t="s">
        <v>7291</v>
      </c>
    </row>
    <row r="4716" spans="1:1" x14ac:dyDescent="0.25">
      <c r="A4716" s="19" t="s">
        <v>7292</v>
      </c>
    </row>
    <row r="4717" spans="1:1" x14ac:dyDescent="0.25">
      <c r="A4717" s="19" t="s">
        <v>7293</v>
      </c>
    </row>
    <row r="4718" spans="1:1" x14ac:dyDescent="0.25">
      <c r="A4718" s="19" t="s">
        <v>7294</v>
      </c>
    </row>
    <row r="4719" spans="1:1" x14ac:dyDescent="0.25">
      <c r="A4719" s="19" t="s">
        <v>7295</v>
      </c>
    </row>
    <row r="4720" spans="1:1" x14ac:dyDescent="0.25">
      <c r="A4720" s="19" t="s">
        <v>7296</v>
      </c>
    </row>
    <row r="4721" spans="1:1" x14ac:dyDescent="0.25">
      <c r="A4721" s="19" t="s">
        <v>7297</v>
      </c>
    </row>
    <row r="4722" spans="1:1" x14ac:dyDescent="0.25">
      <c r="A4722" s="19" t="s">
        <v>7298</v>
      </c>
    </row>
    <row r="4723" spans="1:1" x14ac:dyDescent="0.25">
      <c r="A4723" s="19" t="s">
        <v>7299</v>
      </c>
    </row>
    <row r="4724" spans="1:1" x14ac:dyDescent="0.25">
      <c r="A4724" s="19" t="s">
        <v>7300</v>
      </c>
    </row>
    <row r="4725" spans="1:1" x14ac:dyDescent="0.25">
      <c r="A4725" s="19" t="s">
        <v>7301</v>
      </c>
    </row>
    <row r="4726" spans="1:1" x14ac:dyDescent="0.25">
      <c r="A4726" s="19" t="s">
        <v>7302</v>
      </c>
    </row>
    <row r="4727" spans="1:1" x14ac:dyDescent="0.25">
      <c r="A4727" s="19" t="s">
        <v>7303</v>
      </c>
    </row>
    <row r="4728" spans="1:1" x14ac:dyDescent="0.25">
      <c r="A4728" s="19" t="s">
        <v>7304</v>
      </c>
    </row>
    <row r="4729" spans="1:1" x14ac:dyDescent="0.25">
      <c r="A4729" s="19" t="s">
        <v>7305</v>
      </c>
    </row>
    <row r="4730" spans="1:1" x14ac:dyDescent="0.25">
      <c r="A4730" s="19" t="s">
        <v>7306</v>
      </c>
    </row>
    <row r="4731" spans="1:1" x14ac:dyDescent="0.25">
      <c r="A4731" s="19" t="s">
        <v>7307</v>
      </c>
    </row>
    <row r="4732" spans="1:1" x14ac:dyDescent="0.25">
      <c r="A4732" s="19" t="s">
        <v>7308</v>
      </c>
    </row>
    <row r="4733" spans="1:1" x14ac:dyDescent="0.25">
      <c r="A4733" s="19" t="s">
        <v>7309</v>
      </c>
    </row>
    <row r="4734" spans="1:1" x14ac:dyDescent="0.25">
      <c r="A4734" s="19" t="s">
        <v>7310</v>
      </c>
    </row>
    <row r="4735" spans="1:1" x14ac:dyDescent="0.25">
      <c r="A4735" s="19" t="s">
        <v>7311</v>
      </c>
    </row>
    <row r="4736" spans="1:1" x14ac:dyDescent="0.25">
      <c r="A4736" s="19" t="s">
        <v>7312</v>
      </c>
    </row>
    <row r="4737" spans="1:1" x14ac:dyDescent="0.25">
      <c r="A4737" s="19" t="s">
        <v>7313</v>
      </c>
    </row>
    <row r="4738" spans="1:1" x14ac:dyDescent="0.25">
      <c r="A4738" s="19" t="s">
        <v>7314</v>
      </c>
    </row>
    <row r="4739" spans="1:1" x14ac:dyDescent="0.25">
      <c r="A4739" s="19" t="s">
        <v>7315</v>
      </c>
    </row>
    <row r="4740" spans="1:1" x14ac:dyDescent="0.25">
      <c r="A4740" s="19" t="s">
        <v>7316</v>
      </c>
    </row>
    <row r="4741" spans="1:1" x14ac:dyDescent="0.25">
      <c r="A4741" s="19" t="s">
        <v>7317</v>
      </c>
    </row>
    <row r="4742" spans="1:1" x14ac:dyDescent="0.25">
      <c r="A4742" s="19" t="s">
        <v>7318</v>
      </c>
    </row>
    <row r="4743" spans="1:1" x14ac:dyDescent="0.25">
      <c r="A4743" s="19" t="s">
        <v>7319</v>
      </c>
    </row>
    <row r="4744" spans="1:1" x14ac:dyDescent="0.25">
      <c r="A4744" s="19" t="s">
        <v>7320</v>
      </c>
    </row>
    <row r="4745" spans="1:1" x14ac:dyDescent="0.25">
      <c r="A4745" s="19" t="s">
        <v>7321</v>
      </c>
    </row>
    <row r="4746" spans="1:1" x14ac:dyDescent="0.25">
      <c r="A4746" s="19" t="s">
        <v>7322</v>
      </c>
    </row>
    <row r="4747" spans="1:1" x14ac:dyDescent="0.25">
      <c r="A4747" s="19" t="s">
        <v>7323</v>
      </c>
    </row>
    <row r="4748" spans="1:1" x14ac:dyDescent="0.25">
      <c r="A4748" s="19" t="s">
        <v>7324</v>
      </c>
    </row>
    <row r="4749" spans="1:1" x14ac:dyDescent="0.25">
      <c r="A4749" s="19" t="s">
        <v>7325</v>
      </c>
    </row>
    <row r="4750" spans="1:1" x14ac:dyDescent="0.25">
      <c r="A4750" s="19" t="s">
        <v>7326</v>
      </c>
    </row>
    <row r="4751" spans="1:1" x14ac:dyDescent="0.25">
      <c r="A4751" s="19" t="s">
        <v>7327</v>
      </c>
    </row>
    <row r="4752" spans="1:1" x14ac:dyDescent="0.25">
      <c r="A4752" s="19" t="s">
        <v>7328</v>
      </c>
    </row>
    <row r="4753" spans="1:1" x14ac:dyDescent="0.25">
      <c r="A4753" s="19" t="s">
        <v>7329</v>
      </c>
    </row>
    <row r="4754" spans="1:1" x14ac:dyDescent="0.25">
      <c r="A4754" s="19" t="s">
        <v>7330</v>
      </c>
    </row>
    <row r="4755" spans="1:1" x14ac:dyDescent="0.25">
      <c r="A4755" s="19" t="s">
        <v>7331</v>
      </c>
    </row>
    <row r="4756" spans="1:1" x14ac:dyDescent="0.25">
      <c r="A4756" s="19" t="s">
        <v>7332</v>
      </c>
    </row>
    <row r="4757" spans="1:1" x14ac:dyDescent="0.25">
      <c r="A4757" s="19" t="s">
        <v>7333</v>
      </c>
    </row>
    <row r="4758" spans="1:1" x14ac:dyDescent="0.25">
      <c r="A4758" s="19" t="s">
        <v>7334</v>
      </c>
    </row>
    <row r="4759" spans="1:1" x14ac:dyDescent="0.25">
      <c r="A4759" s="19" t="s">
        <v>7335</v>
      </c>
    </row>
    <row r="4760" spans="1:1" x14ac:dyDescent="0.25">
      <c r="A4760" s="19" t="s">
        <v>7336</v>
      </c>
    </row>
    <row r="4761" spans="1:1" x14ac:dyDescent="0.25">
      <c r="A4761" s="19" t="s">
        <v>7337</v>
      </c>
    </row>
    <row r="4762" spans="1:1" x14ac:dyDescent="0.25">
      <c r="A4762" s="19" t="s">
        <v>7338</v>
      </c>
    </row>
    <row r="4763" spans="1:1" x14ac:dyDescent="0.25">
      <c r="A4763" s="19" t="s">
        <v>7339</v>
      </c>
    </row>
    <row r="4764" spans="1:1" x14ac:dyDescent="0.25">
      <c r="A4764" s="19" t="s">
        <v>7340</v>
      </c>
    </row>
    <row r="4765" spans="1:1" x14ac:dyDescent="0.25">
      <c r="A4765" s="19" t="s">
        <v>7341</v>
      </c>
    </row>
    <row r="4766" spans="1:1" x14ac:dyDescent="0.25">
      <c r="A4766" s="19" t="s">
        <v>7342</v>
      </c>
    </row>
    <row r="4767" spans="1:1" x14ac:dyDescent="0.25">
      <c r="A4767" s="19" t="s">
        <v>7343</v>
      </c>
    </row>
    <row r="4768" spans="1:1" x14ac:dyDescent="0.25">
      <c r="A4768" s="19" t="s">
        <v>7344</v>
      </c>
    </row>
    <row r="4769" spans="1:1" x14ac:dyDescent="0.25">
      <c r="A4769" s="19" t="s">
        <v>7345</v>
      </c>
    </row>
    <row r="4770" spans="1:1" x14ac:dyDescent="0.25">
      <c r="A4770" s="19" t="s">
        <v>7346</v>
      </c>
    </row>
    <row r="4771" spans="1:1" x14ac:dyDescent="0.25">
      <c r="A4771" s="19" t="s">
        <v>7347</v>
      </c>
    </row>
    <row r="4772" spans="1:1" x14ac:dyDescent="0.25">
      <c r="A4772" s="19" t="s">
        <v>7348</v>
      </c>
    </row>
    <row r="4773" spans="1:1" x14ac:dyDescent="0.25">
      <c r="A4773" s="19" t="s">
        <v>7349</v>
      </c>
    </row>
    <row r="4774" spans="1:1" x14ac:dyDescent="0.25">
      <c r="A4774" s="19" t="s">
        <v>7350</v>
      </c>
    </row>
    <row r="4775" spans="1:1" x14ac:dyDescent="0.25">
      <c r="A4775" s="19" t="s">
        <v>7351</v>
      </c>
    </row>
    <row r="4776" spans="1:1" x14ac:dyDescent="0.25">
      <c r="A4776" s="19" t="s">
        <v>7352</v>
      </c>
    </row>
    <row r="4777" spans="1:1" x14ac:dyDescent="0.25">
      <c r="A4777" s="19" t="s">
        <v>7353</v>
      </c>
    </row>
    <row r="4778" spans="1:1" x14ac:dyDescent="0.25">
      <c r="A4778" s="19" t="s">
        <v>7354</v>
      </c>
    </row>
    <row r="4779" spans="1:1" x14ac:dyDescent="0.25">
      <c r="A4779" s="19" t="s">
        <v>7355</v>
      </c>
    </row>
    <row r="4780" spans="1:1" x14ac:dyDescent="0.25">
      <c r="A4780" s="19" t="s">
        <v>7356</v>
      </c>
    </row>
    <row r="4781" spans="1:1" x14ac:dyDescent="0.25">
      <c r="A4781" s="19" t="s">
        <v>7357</v>
      </c>
    </row>
    <row r="4782" spans="1:1" x14ac:dyDescent="0.25">
      <c r="A4782" s="19" t="s">
        <v>7358</v>
      </c>
    </row>
    <row r="4783" spans="1:1" x14ac:dyDescent="0.25">
      <c r="A4783" s="19" t="s">
        <v>7359</v>
      </c>
    </row>
    <row r="4784" spans="1:1" x14ac:dyDescent="0.25">
      <c r="A4784" s="19" t="s">
        <v>7360</v>
      </c>
    </row>
    <row r="4785" spans="1:1" x14ac:dyDescent="0.25">
      <c r="A4785" s="19" t="s">
        <v>7361</v>
      </c>
    </row>
    <row r="4786" spans="1:1" x14ac:dyDescent="0.25">
      <c r="A4786" s="19" t="s">
        <v>7362</v>
      </c>
    </row>
    <row r="4787" spans="1:1" x14ac:dyDescent="0.25">
      <c r="A4787" s="19" t="s">
        <v>7363</v>
      </c>
    </row>
    <row r="4788" spans="1:1" x14ac:dyDescent="0.25">
      <c r="A4788" s="19" t="s">
        <v>7364</v>
      </c>
    </row>
    <row r="4789" spans="1:1" x14ac:dyDescent="0.25">
      <c r="A4789" s="19" t="s">
        <v>7365</v>
      </c>
    </row>
    <row r="4790" spans="1:1" x14ac:dyDescent="0.25">
      <c r="A4790" s="19" t="s">
        <v>7366</v>
      </c>
    </row>
    <row r="4791" spans="1:1" x14ac:dyDescent="0.25">
      <c r="A4791" s="19" t="s">
        <v>7367</v>
      </c>
    </row>
    <row r="4792" spans="1:1" x14ac:dyDescent="0.25">
      <c r="A4792" s="19" t="s">
        <v>7368</v>
      </c>
    </row>
    <row r="4793" spans="1:1" x14ac:dyDescent="0.25">
      <c r="A4793" s="19" t="s">
        <v>7369</v>
      </c>
    </row>
    <row r="4794" spans="1:1" x14ac:dyDescent="0.25">
      <c r="A4794" s="19" t="s">
        <v>7370</v>
      </c>
    </row>
    <row r="4795" spans="1:1" x14ac:dyDescent="0.25">
      <c r="A4795" s="19" t="s">
        <v>7371</v>
      </c>
    </row>
    <row r="4796" spans="1:1" x14ac:dyDescent="0.25">
      <c r="A4796" s="19" t="s">
        <v>7372</v>
      </c>
    </row>
    <row r="4797" spans="1:1" x14ac:dyDescent="0.25">
      <c r="A4797" s="19" t="s">
        <v>7373</v>
      </c>
    </row>
    <row r="4798" spans="1:1" x14ac:dyDescent="0.25">
      <c r="A4798" s="19" t="s">
        <v>7374</v>
      </c>
    </row>
    <row r="4799" spans="1:1" x14ac:dyDescent="0.25">
      <c r="A4799" s="19" t="s">
        <v>7375</v>
      </c>
    </row>
    <row r="4800" spans="1:1" x14ac:dyDescent="0.25">
      <c r="A4800" s="19" t="s">
        <v>7376</v>
      </c>
    </row>
    <row r="4801" spans="1:1" x14ac:dyDescent="0.25">
      <c r="A4801" s="19" t="s">
        <v>7377</v>
      </c>
    </row>
    <row r="4802" spans="1:1" x14ac:dyDescent="0.25">
      <c r="A4802" s="19" t="s">
        <v>7378</v>
      </c>
    </row>
    <row r="4803" spans="1:1" x14ac:dyDescent="0.25">
      <c r="A4803" s="19" t="s">
        <v>7379</v>
      </c>
    </row>
    <row r="4804" spans="1:1" x14ac:dyDescent="0.25">
      <c r="A4804" s="19" t="s">
        <v>7380</v>
      </c>
    </row>
    <row r="4805" spans="1:1" x14ac:dyDescent="0.25">
      <c r="A4805" s="19" t="s">
        <v>7381</v>
      </c>
    </row>
    <row r="4806" spans="1:1" x14ac:dyDescent="0.25">
      <c r="A4806" s="19" t="s">
        <v>7382</v>
      </c>
    </row>
    <row r="4807" spans="1:1" x14ac:dyDescent="0.25">
      <c r="A4807" s="19" t="s">
        <v>7383</v>
      </c>
    </row>
    <row r="4808" spans="1:1" x14ac:dyDescent="0.25">
      <c r="A4808" s="19" t="s">
        <v>7384</v>
      </c>
    </row>
    <row r="4809" spans="1:1" x14ac:dyDescent="0.25">
      <c r="A4809" s="19" t="s">
        <v>7385</v>
      </c>
    </row>
    <row r="4810" spans="1:1" x14ac:dyDescent="0.25">
      <c r="A4810" s="19" t="s">
        <v>7386</v>
      </c>
    </row>
    <row r="4811" spans="1:1" x14ac:dyDescent="0.25">
      <c r="A4811" s="19" t="s">
        <v>7386</v>
      </c>
    </row>
    <row r="4812" spans="1:1" x14ac:dyDescent="0.25">
      <c r="A4812" s="19" t="s">
        <v>7387</v>
      </c>
    </row>
    <row r="4813" spans="1:1" x14ac:dyDescent="0.25">
      <c r="A4813" s="19" t="s">
        <v>7388</v>
      </c>
    </row>
    <row r="4814" spans="1:1" x14ac:dyDescent="0.25">
      <c r="A4814" s="19" t="s">
        <v>7389</v>
      </c>
    </row>
    <row r="4815" spans="1:1" x14ac:dyDescent="0.25">
      <c r="A4815" s="19" t="s">
        <v>7390</v>
      </c>
    </row>
    <row r="4816" spans="1:1" x14ac:dyDescent="0.25">
      <c r="A4816" s="19" t="s">
        <v>7391</v>
      </c>
    </row>
    <row r="4817" spans="1:1" x14ac:dyDescent="0.25">
      <c r="A4817" s="19" t="s">
        <v>7392</v>
      </c>
    </row>
    <row r="4818" spans="1:1" x14ac:dyDescent="0.25">
      <c r="A4818" s="19" t="s">
        <v>7393</v>
      </c>
    </row>
    <row r="4819" spans="1:1" x14ac:dyDescent="0.25">
      <c r="A4819" s="19" t="s">
        <v>7394</v>
      </c>
    </row>
    <row r="4820" spans="1:1" x14ac:dyDescent="0.25">
      <c r="A4820" s="19" t="s">
        <v>7395</v>
      </c>
    </row>
    <row r="4821" spans="1:1" x14ac:dyDescent="0.25">
      <c r="A4821" s="19" t="s">
        <v>7396</v>
      </c>
    </row>
    <row r="4822" spans="1:1" x14ac:dyDescent="0.25">
      <c r="A4822" s="19" t="s">
        <v>7397</v>
      </c>
    </row>
    <row r="4823" spans="1:1" x14ac:dyDescent="0.25">
      <c r="A4823" s="19" t="s">
        <v>7398</v>
      </c>
    </row>
    <row r="4824" spans="1:1" x14ac:dyDescent="0.25">
      <c r="A4824" s="19" t="s">
        <v>7399</v>
      </c>
    </row>
    <row r="4825" spans="1:1" x14ac:dyDescent="0.25">
      <c r="A4825" s="19" t="s">
        <v>7400</v>
      </c>
    </row>
    <row r="4826" spans="1:1" x14ac:dyDescent="0.25">
      <c r="A4826" s="19" t="s">
        <v>7401</v>
      </c>
    </row>
    <row r="4827" spans="1:1" x14ac:dyDescent="0.25">
      <c r="A4827" s="19" t="s">
        <v>7402</v>
      </c>
    </row>
    <row r="4828" spans="1:1" x14ac:dyDescent="0.25">
      <c r="A4828" s="19" t="s">
        <v>7403</v>
      </c>
    </row>
    <row r="4829" spans="1:1" x14ac:dyDescent="0.25">
      <c r="A4829" s="19" t="s">
        <v>7404</v>
      </c>
    </row>
    <row r="4830" spans="1:1" x14ac:dyDescent="0.25">
      <c r="A4830" s="19" t="s">
        <v>7405</v>
      </c>
    </row>
    <row r="4831" spans="1:1" x14ac:dyDescent="0.25">
      <c r="A4831" s="19" t="s">
        <v>7406</v>
      </c>
    </row>
    <row r="4832" spans="1:1" x14ac:dyDescent="0.25">
      <c r="A4832" s="19" t="s">
        <v>7407</v>
      </c>
    </row>
    <row r="4833" spans="1:1" x14ac:dyDescent="0.25">
      <c r="A4833" s="19" t="s">
        <v>7408</v>
      </c>
    </row>
    <row r="4834" spans="1:1" x14ac:dyDescent="0.25">
      <c r="A4834" s="19" t="s">
        <v>7408</v>
      </c>
    </row>
    <row r="4835" spans="1:1" x14ac:dyDescent="0.25">
      <c r="A4835" s="19" t="s">
        <v>7409</v>
      </c>
    </row>
    <row r="4836" spans="1:1" x14ac:dyDescent="0.25">
      <c r="A4836" s="19" t="s">
        <v>7410</v>
      </c>
    </row>
    <row r="4837" spans="1:1" x14ac:dyDescent="0.25">
      <c r="A4837" s="19" t="s">
        <v>7411</v>
      </c>
    </row>
    <row r="4838" spans="1:1" x14ac:dyDescent="0.25">
      <c r="A4838" s="19" t="s">
        <v>7412</v>
      </c>
    </row>
    <row r="4839" spans="1:1" x14ac:dyDescent="0.25">
      <c r="A4839" s="19" t="s">
        <v>7413</v>
      </c>
    </row>
    <row r="4840" spans="1:1" x14ac:dyDescent="0.25">
      <c r="A4840" s="19" t="s">
        <v>7414</v>
      </c>
    </row>
    <row r="4841" spans="1:1" x14ac:dyDescent="0.25">
      <c r="A4841" s="19" t="s">
        <v>7415</v>
      </c>
    </row>
    <row r="4842" spans="1:1" x14ac:dyDescent="0.25">
      <c r="A4842" s="19" t="s">
        <v>7416</v>
      </c>
    </row>
    <row r="4843" spans="1:1" x14ac:dyDescent="0.25">
      <c r="A4843" s="19" t="s">
        <v>7417</v>
      </c>
    </row>
    <row r="4844" spans="1:1" x14ac:dyDescent="0.25">
      <c r="A4844" s="19" t="s">
        <v>7418</v>
      </c>
    </row>
    <row r="4845" spans="1:1" x14ac:dyDescent="0.25">
      <c r="A4845" s="19" t="s">
        <v>7419</v>
      </c>
    </row>
    <row r="4846" spans="1:1" x14ac:dyDescent="0.25">
      <c r="A4846" s="19" t="s">
        <v>7420</v>
      </c>
    </row>
    <row r="4847" spans="1:1" x14ac:dyDescent="0.25">
      <c r="A4847" s="19" t="s">
        <v>7421</v>
      </c>
    </row>
    <row r="4848" spans="1:1" x14ac:dyDescent="0.25">
      <c r="A4848" s="19" t="s">
        <v>7422</v>
      </c>
    </row>
    <row r="4849" spans="1:1" x14ac:dyDescent="0.25">
      <c r="A4849" s="19" t="s">
        <v>7423</v>
      </c>
    </row>
    <row r="4850" spans="1:1" x14ac:dyDescent="0.25">
      <c r="A4850" s="19" t="s">
        <v>7424</v>
      </c>
    </row>
    <row r="4851" spans="1:1" x14ac:dyDescent="0.25">
      <c r="A4851" s="19" t="s">
        <v>7425</v>
      </c>
    </row>
    <row r="4852" spans="1:1" x14ac:dyDescent="0.25">
      <c r="A4852" s="19" t="s">
        <v>7426</v>
      </c>
    </row>
    <row r="4853" spans="1:1" x14ac:dyDescent="0.25">
      <c r="A4853" s="19" t="s">
        <v>7426</v>
      </c>
    </row>
    <row r="4854" spans="1:1" x14ac:dyDescent="0.25">
      <c r="A4854" s="19" t="s">
        <v>7427</v>
      </c>
    </row>
    <row r="4855" spans="1:1" x14ac:dyDescent="0.25">
      <c r="A4855" s="19" t="s">
        <v>7428</v>
      </c>
    </row>
    <row r="4856" spans="1:1" x14ac:dyDescent="0.25">
      <c r="A4856" s="19" t="s">
        <v>7429</v>
      </c>
    </row>
    <row r="4857" spans="1:1" x14ac:dyDescent="0.25">
      <c r="A4857" s="19" t="s">
        <v>7430</v>
      </c>
    </row>
    <row r="4858" spans="1:1" x14ac:dyDescent="0.25">
      <c r="A4858" s="19" t="s">
        <v>7431</v>
      </c>
    </row>
    <row r="4859" spans="1:1" x14ac:dyDescent="0.25">
      <c r="A4859" s="19" t="s">
        <v>7432</v>
      </c>
    </row>
    <row r="4860" spans="1:1" x14ac:dyDescent="0.25">
      <c r="A4860" s="19" t="s">
        <v>7433</v>
      </c>
    </row>
    <row r="4861" spans="1:1" x14ac:dyDescent="0.25">
      <c r="A4861" s="19" t="s">
        <v>7434</v>
      </c>
    </row>
    <row r="4862" spans="1:1" x14ac:dyDescent="0.25">
      <c r="A4862" s="19" t="s">
        <v>7435</v>
      </c>
    </row>
    <row r="4863" spans="1:1" x14ac:dyDescent="0.25">
      <c r="A4863" s="19" t="s">
        <v>7436</v>
      </c>
    </row>
    <row r="4864" spans="1:1" x14ac:dyDescent="0.25">
      <c r="A4864" s="19" t="s">
        <v>7437</v>
      </c>
    </row>
    <row r="4865" spans="1:1" x14ac:dyDescent="0.25">
      <c r="A4865" s="19" t="s">
        <v>7438</v>
      </c>
    </row>
    <row r="4866" spans="1:1" x14ac:dyDescent="0.25">
      <c r="A4866" s="19" t="s">
        <v>7439</v>
      </c>
    </row>
    <row r="4867" spans="1:1" x14ac:dyDescent="0.25">
      <c r="A4867" s="19" t="s">
        <v>7440</v>
      </c>
    </row>
    <row r="4868" spans="1:1" x14ac:dyDescent="0.25">
      <c r="A4868" s="19" t="s">
        <v>7441</v>
      </c>
    </row>
    <row r="4869" spans="1:1" x14ac:dyDescent="0.25">
      <c r="A4869" s="19" t="s">
        <v>7442</v>
      </c>
    </row>
    <row r="4870" spans="1:1" x14ac:dyDescent="0.25">
      <c r="A4870" s="19" t="s">
        <v>7443</v>
      </c>
    </row>
    <row r="4871" spans="1:1" x14ac:dyDescent="0.25">
      <c r="A4871" s="19" t="s">
        <v>7444</v>
      </c>
    </row>
    <row r="4872" spans="1:1" x14ac:dyDescent="0.25">
      <c r="A4872" s="19" t="s">
        <v>7445</v>
      </c>
    </row>
    <row r="4873" spans="1:1" x14ac:dyDescent="0.25">
      <c r="A4873" s="19" t="s">
        <v>7446</v>
      </c>
    </row>
    <row r="4874" spans="1:1" x14ac:dyDescent="0.25">
      <c r="A4874" s="19" t="s">
        <v>7447</v>
      </c>
    </row>
    <row r="4875" spans="1:1" x14ac:dyDescent="0.25">
      <c r="A4875" s="19" t="s">
        <v>7448</v>
      </c>
    </row>
    <row r="4876" spans="1:1" x14ac:dyDescent="0.25">
      <c r="A4876" s="19" t="s">
        <v>7449</v>
      </c>
    </row>
    <row r="4877" spans="1:1" x14ac:dyDescent="0.25">
      <c r="A4877" s="19" t="s">
        <v>7450</v>
      </c>
    </row>
    <row r="4878" spans="1:1" x14ac:dyDescent="0.25">
      <c r="A4878" s="19" t="s">
        <v>7451</v>
      </c>
    </row>
    <row r="4879" spans="1:1" x14ac:dyDescent="0.25">
      <c r="A4879" s="19" t="s">
        <v>7452</v>
      </c>
    </row>
    <row r="4880" spans="1:1" x14ac:dyDescent="0.25">
      <c r="A4880" s="19" t="s">
        <v>7453</v>
      </c>
    </row>
    <row r="4881" spans="1:1" x14ac:dyDescent="0.25">
      <c r="A4881" s="19" t="s">
        <v>7454</v>
      </c>
    </row>
    <row r="4882" spans="1:1" x14ac:dyDescent="0.25">
      <c r="A4882" s="19" t="s">
        <v>7455</v>
      </c>
    </row>
    <row r="4883" spans="1:1" x14ac:dyDescent="0.25">
      <c r="A4883" s="19" t="s">
        <v>7456</v>
      </c>
    </row>
    <row r="4884" spans="1:1" x14ac:dyDescent="0.25">
      <c r="A4884" s="19" t="s">
        <v>7457</v>
      </c>
    </row>
    <row r="4885" spans="1:1" x14ac:dyDescent="0.25">
      <c r="A4885" s="19" t="s">
        <v>7458</v>
      </c>
    </row>
    <row r="4886" spans="1:1" x14ac:dyDescent="0.25">
      <c r="A4886" s="19" t="s">
        <v>7459</v>
      </c>
    </row>
    <row r="4887" spans="1:1" x14ac:dyDescent="0.25">
      <c r="A4887" s="19" t="s">
        <v>7460</v>
      </c>
    </row>
    <row r="4888" spans="1:1" x14ac:dyDescent="0.25">
      <c r="A4888" s="19" t="s">
        <v>7461</v>
      </c>
    </row>
    <row r="4889" spans="1:1" x14ac:dyDescent="0.25">
      <c r="A4889" s="19" t="s">
        <v>7462</v>
      </c>
    </row>
    <row r="4890" spans="1:1" x14ac:dyDescent="0.25">
      <c r="A4890" s="19" t="s">
        <v>7463</v>
      </c>
    </row>
    <row r="4891" spans="1:1" x14ac:dyDescent="0.25">
      <c r="A4891" s="19" t="s">
        <v>7464</v>
      </c>
    </row>
    <row r="4892" spans="1:1" x14ac:dyDescent="0.25">
      <c r="A4892" s="19" t="s">
        <v>7465</v>
      </c>
    </row>
    <row r="4893" spans="1:1" x14ac:dyDescent="0.25">
      <c r="A4893" s="19" t="s">
        <v>7465</v>
      </c>
    </row>
    <row r="4894" spans="1:1" x14ac:dyDescent="0.25">
      <c r="A4894" s="19" t="s">
        <v>7465</v>
      </c>
    </row>
    <row r="4895" spans="1:1" x14ac:dyDescent="0.25">
      <c r="A4895" s="19" t="s">
        <v>7466</v>
      </c>
    </row>
    <row r="4896" spans="1:1" x14ac:dyDescent="0.25">
      <c r="A4896" s="19" t="s">
        <v>7466</v>
      </c>
    </row>
    <row r="4897" spans="1:1" x14ac:dyDescent="0.25">
      <c r="A4897" s="19" t="s">
        <v>7467</v>
      </c>
    </row>
    <row r="4898" spans="1:1" x14ac:dyDescent="0.25">
      <c r="A4898" s="19" t="s">
        <v>7468</v>
      </c>
    </row>
    <row r="4899" spans="1:1" x14ac:dyDescent="0.25">
      <c r="A4899" s="19" t="s">
        <v>7469</v>
      </c>
    </row>
    <row r="4900" spans="1:1" x14ac:dyDescent="0.25">
      <c r="A4900" s="19" t="s">
        <v>7470</v>
      </c>
    </row>
    <row r="4901" spans="1:1" x14ac:dyDescent="0.25">
      <c r="A4901" s="19" t="s">
        <v>7471</v>
      </c>
    </row>
    <row r="4902" spans="1:1" x14ac:dyDescent="0.25">
      <c r="A4902" s="19" t="s">
        <v>7472</v>
      </c>
    </row>
    <row r="4903" spans="1:1" x14ac:dyDescent="0.25">
      <c r="A4903" s="19" t="s">
        <v>7473</v>
      </c>
    </row>
    <row r="4904" spans="1:1" x14ac:dyDescent="0.25">
      <c r="A4904" s="19" t="s">
        <v>7474</v>
      </c>
    </row>
    <row r="4905" spans="1:1" x14ac:dyDescent="0.25">
      <c r="A4905" s="19" t="s">
        <v>7475</v>
      </c>
    </row>
    <row r="4906" spans="1:1" x14ac:dyDescent="0.25">
      <c r="A4906" s="19" t="s">
        <v>7476</v>
      </c>
    </row>
    <row r="4907" spans="1:1" x14ac:dyDescent="0.25">
      <c r="A4907" s="19" t="s">
        <v>7477</v>
      </c>
    </row>
    <row r="4908" spans="1:1" x14ac:dyDescent="0.25">
      <c r="A4908" s="19" t="s">
        <v>7478</v>
      </c>
    </row>
    <row r="4909" spans="1:1" x14ac:dyDescent="0.25">
      <c r="A4909" s="19" t="s">
        <v>7479</v>
      </c>
    </row>
    <row r="4910" spans="1:1" x14ac:dyDescent="0.25">
      <c r="A4910" s="19" t="s">
        <v>7480</v>
      </c>
    </row>
    <row r="4911" spans="1:1" x14ac:dyDescent="0.25">
      <c r="A4911" s="19" t="s">
        <v>7481</v>
      </c>
    </row>
    <row r="4912" spans="1:1" x14ac:dyDescent="0.25">
      <c r="A4912" s="19" t="s">
        <v>7482</v>
      </c>
    </row>
    <row r="4913" spans="1:1" x14ac:dyDescent="0.25">
      <c r="A4913" s="19" t="s">
        <v>7482</v>
      </c>
    </row>
    <row r="4914" spans="1:1" x14ac:dyDescent="0.25">
      <c r="A4914" s="19" t="s">
        <v>7482</v>
      </c>
    </row>
    <row r="4915" spans="1:1" x14ac:dyDescent="0.25">
      <c r="A4915" s="19" t="s">
        <v>7483</v>
      </c>
    </row>
    <row r="4916" spans="1:1" x14ac:dyDescent="0.25">
      <c r="A4916" s="19" t="s">
        <v>7484</v>
      </c>
    </row>
    <row r="4917" spans="1:1" x14ac:dyDescent="0.25">
      <c r="A4917" s="19" t="s">
        <v>7485</v>
      </c>
    </row>
    <row r="4918" spans="1:1" x14ac:dyDescent="0.25">
      <c r="A4918" s="19" t="s">
        <v>7486</v>
      </c>
    </row>
    <row r="4919" spans="1:1" x14ac:dyDescent="0.25">
      <c r="A4919" s="19" t="s">
        <v>7487</v>
      </c>
    </row>
    <row r="4920" spans="1:1" x14ac:dyDescent="0.25">
      <c r="A4920" s="19" t="s">
        <v>7488</v>
      </c>
    </row>
    <row r="4921" spans="1:1" x14ac:dyDescent="0.25">
      <c r="A4921" s="19" t="s">
        <v>7489</v>
      </c>
    </row>
    <row r="4922" spans="1:1" x14ac:dyDescent="0.25">
      <c r="A4922" s="19" t="s">
        <v>7490</v>
      </c>
    </row>
    <row r="4923" spans="1:1" x14ac:dyDescent="0.25">
      <c r="A4923" s="19" t="s">
        <v>7491</v>
      </c>
    </row>
    <row r="4924" spans="1:1" x14ac:dyDescent="0.25">
      <c r="A4924" s="19" t="s">
        <v>7492</v>
      </c>
    </row>
    <row r="4925" spans="1:1" x14ac:dyDescent="0.25">
      <c r="A4925" s="19" t="s">
        <v>7493</v>
      </c>
    </row>
    <row r="4926" spans="1:1" x14ac:dyDescent="0.25">
      <c r="A4926" s="19" t="s">
        <v>7494</v>
      </c>
    </row>
    <row r="4927" spans="1:1" x14ac:dyDescent="0.25">
      <c r="A4927" s="19" t="s">
        <v>7495</v>
      </c>
    </row>
    <row r="4928" spans="1:1" x14ac:dyDescent="0.25">
      <c r="A4928" s="19" t="s">
        <v>7496</v>
      </c>
    </row>
    <row r="4929" spans="1:1" x14ac:dyDescent="0.25">
      <c r="A4929" s="19" t="s">
        <v>7497</v>
      </c>
    </row>
    <row r="4930" spans="1:1" x14ac:dyDescent="0.25">
      <c r="A4930" s="19" t="s">
        <v>7498</v>
      </c>
    </row>
    <row r="4931" spans="1:1" x14ac:dyDescent="0.25">
      <c r="A4931" s="19" t="s">
        <v>7499</v>
      </c>
    </row>
    <row r="4932" spans="1:1" x14ac:dyDescent="0.25">
      <c r="A4932" s="19" t="s">
        <v>7500</v>
      </c>
    </row>
    <row r="4933" spans="1:1" x14ac:dyDescent="0.25">
      <c r="A4933" s="19" t="s">
        <v>7501</v>
      </c>
    </row>
    <row r="4934" spans="1:1" x14ac:dyDescent="0.25">
      <c r="A4934" s="19" t="s">
        <v>7502</v>
      </c>
    </row>
    <row r="4935" spans="1:1" x14ac:dyDescent="0.25">
      <c r="A4935" s="19" t="s">
        <v>7503</v>
      </c>
    </row>
    <row r="4936" spans="1:1" x14ac:dyDescent="0.25">
      <c r="A4936" s="19" t="s">
        <v>7504</v>
      </c>
    </row>
    <row r="4937" spans="1:1" x14ac:dyDescent="0.25">
      <c r="A4937" s="19" t="s">
        <v>7505</v>
      </c>
    </row>
    <row r="4938" spans="1:1" x14ac:dyDescent="0.25">
      <c r="A4938" s="19" t="s">
        <v>7506</v>
      </c>
    </row>
    <row r="4939" spans="1:1" x14ac:dyDescent="0.25">
      <c r="A4939" s="19" t="s">
        <v>7507</v>
      </c>
    </row>
    <row r="4940" spans="1:1" x14ac:dyDescent="0.25">
      <c r="A4940" s="19" t="s">
        <v>7508</v>
      </c>
    </row>
    <row r="4941" spans="1:1" x14ac:dyDescent="0.25">
      <c r="A4941" s="19" t="s">
        <v>7509</v>
      </c>
    </row>
    <row r="4942" spans="1:1" x14ac:dyDescent="0.25">
      <c r="A4942" s="19" t="s">
        <v>7510</v>
      </c>
    </row>
    <row r="4943" spans="1:1" x14ac:dyDescent="0.25">
      <c r="A4943" s="19" t="s">
        <v>7511</v>
      </c>
    </row>
    <row r="4944" spans="1:1" x14ac:dyDescent="0.25">
      <c r="A4944" s="19" t="s">
        <v>7512</v>
      </c>
    </row>
    <row r="4945" spans="1:1" x14ac:dyDescent="0.25">
      <c r="A4945" s="19" t="s">
        <v>7513</v>
      </c>
    </row>
    <row r="4946" spans="1:1" x14ac:dyDescent="0.25">
      <c r="A4946" s="19" t="s">
        <v>7514</v>
      </c>
    </row>
    <row r="4947" spans="1:1" x14ac:dyDescent="0.25">
      <c r="A4947" s="19" t="s">
        <v>7515</v>
      </c>
    </row>
    <row r="4948" spans="1:1" x14ac:dyDescent="0.25">
      <c r="A4948" s="19" t="s">
        <v>7516</v>
      </c>
    </row>
    <row r="4949" spans="1:1" x14ac:dyDescent="0.25">
      <c r="A4949" s="19" t="s">
        <v>7517</v>
      </c>
    </row>
    <row r="4950" spans="1:1" x14ac:dyDescent="0.25">
      <c r="A4950" s="19" t="s">
        <v>7518</v>
      </c>
    </row>
    <row r="4951" spans="1:1" x14ac:dyDescent="0.25">
      <c r="A4951" s="19" t="s">
        <v>7519</v>
      </c>
    </row>
    <row r="4952" spans="1:1" x14ac:dyDescent="0.25">
      <c r="A4952" s="19" t="s">
        <v>7519</v>
      </c>
    </row>
    <row r="4953" spans="1:1" x14ac:dyDescent="0.25">
      <c r="A4953" s="19" t="s">
        <v>7520</v>
      </c>
    </row>
    <row r="4954" spans="1:1" x14ac:dyDescent="0.25">
      <c r="A4954" s="19" t="s">
        <v>7521</v>
      </c>
    </row>
    <row r="4955" spans="1:1" x14ac:dyDescent="0.25">
      <c r="A4955" s="19" t="s">
        <v>7522</v>
      </c>
    </row>
    <row r="4956" spans="1:1" x14ac:dyDescent="0.25">
      <c r="A4956" s="19" t="s">
        <v>7523</v>
      </c>
    </row>
    <row r="4957" spans="1:1" x14ac:dyDescent="0.25">
      <c r="A4957" s="19" t="s">
        <v>7524</v>
      </c>
    </row>
    <row r="4958" spans="1:1" x14ac:dyDescent="0.25">
      <c r="A4958" s="19" t="s">
        <v>7525</v>
      </c>
    </row>
    <row r="4959" spans="1:1" x14ac:dyDescent="0.25">
      <c r="A4959" s="19" t="s">
        <v>7526</v>
      </c>
    </row>
    <row r="4960" spans="1:1" x14ac:dyDescent="0.25">
      <c r="A4960" s="19" t="s">
        <v>7527</v>
      </c>
    </row>
    <row r="4961" spans="1:1" x14ac:dyDescent="0.25">
      <c r="A4961" s="19" t="s">
        <v>7528</v>
      </c>
    </row>
    <row r="4962" spans="1:1" x14ac:dyDescent="0.25">
      <c r="A4962" s="19" t="s">
        <v>7529</v>
      </c>
    </row>
    <row r="4963" spans="1:1" x14ac:dyDescent="0.25">
      <c r="A4963" s="19" t="s">
        <v>7530</v>
      </c>
    </row>
    <row r="4964" spans="1:1" x14ac:dyDescent="0.25">
      <c r="A4964" s="19" t="s">
        <v>7531</v>
      </c>
    </row>
    <row r="4965" spans="1:1" x14ac:dyDescent="0.25">
      <c r="A4965" s="19" t="s">
        <v>7532</v>
      </c>
    </row>
    <row r="4966" spans="1:1" x14ac:dyDescent="0.25">
      <c r="A4966" s="19" t="s">
        <v>7533</v>
      </c>
    </row>
    <row r="4967" spans="1:1" x14ac:dyDescent="0.25">
      <c r="A4967" s="19" t="s">
        <v>7534</v>
      </c>
    </row>
    <row r="4968" spans="1:1" x14ac:dyDescent="0.25">
      <c r="A4968" s="19" t="s">
        <v>7535</v>
      </c>
    </row>
    <row r="4969" spans="1:1" x14ac:dyDescent="0.25">
      <c r="A4969" s="19" t="s">
        <v>7536</v>
      </c>
    </row>
    <row r="4970" spans="1:1" x14ac:dyDescent="0.25">
      <c r="A4970" s="19" t="s">
        <v>7537</v>
      </c>
    </row>
    <row r="4971" spans="1:1" x14ac:dyDescent="0.25">
      <c r="A4971" s="19" t="s">
        <v>7538</v>
      </c>
    </row>
    <row r="4972" spans="1:1" x14ac:dyDescent="0.25">
      <c r="A4972" s="19" t="s">
        <v>7539</v>
      </c>
    </row>
    <row r="4973" spans="1:1" x14ac:dyDescent="0.25">
      <c r="A4973" s="19" t="s">
        <v>7540</v>
      </c>
    </row>
    <row r="4974" spans="1:1" x14ac:dyDescent="0.25">
      <c r="A4974" s="19" t="s">
        <v>7541</v>
      </c>
    </row>
    <row r="4975" spans="1:1" x14ac:dyDescent="0.25">
      <c r="A4975" s="19" t="s">
        <v>7542</v>
      </c>
    </row>
    <row r="4976" spans="1:1" x14ac:dyDescent="0.25">
      <c r="A4976" s="19" t="s">
        <v>7543</v>
      </c>
    </row>
    <row r="4977" spans="1:1" x14ac:dyDescent="0.25">
      <c r="A4977" s="19" t="s">
        <v>7544</v>
      </c>
    </row>
    <row r="4978" spans="1:1" x14ac:dyDescent="0.25">
      <c r="A4978" s="19" t="s">
        <v>7545</v>
      </c>
    </row>
    <row r="4979" spans="1:1" x14ac:dyDescent="0.25">
      <c r="A4979" s="19" t="s">
        <v>7546</v>
      </c>
    </row>
    <row r="4980" spans="1:1" x14ac:dyDescent="0.25">
      <c r="A4980" s="19" t="s">
        <v>7547</v>
      </c>
    </row>
    <row r="4981" spans="1:1" x14ac:dyDescent="0.25">
      <c r="A4981" s="19" t="s">
        <v>7548</v>
      </c>
    </row>
    <row r="4982" spans="1:1" x14ac:dyDescent="0.25">
      <c r="A4982" s="19" t="s">
        <v>7549</v>
      </c>
    </row>
    <row r="4983" spans="1:1" x14ac:dyDescent="0.25">
      <c r="A4983" s="19" t="s">
        <v>7550</v>
      </c>
    </row>
    <row r="4984" spans="1:1" x14ac:dyDescent="0.25">
      <c r="A4984" s="19" t="s">
        <v>7551</v>
      </c>
    </row>
    <row r="4985" spans="1:1" x14ac:dyDescent="0.25">
      <c r="A4985" s="19" t="s">
        <v>7552</v>
      </c>
    </row>
    <row r="4986" spans="1:1" x14ac:dyDescent="0.25">
      <c r="A4986" s="19" t="s">
        <v>7552</v>
      </c>
    </row>
    <row r="4987" spans="1:1" x14ac:dyDescent="0.25">
      <c r="A4987" s="19" t="s">
        <v>7553</v>
      </c>
    </row>
    <row r="4988" spans="1:1" x14ac:dyDescent="0.25">
      <c r="A4988" s="19" t="s">
        <v>7554</v>
      </c>
    </row>
    <row r="4989" spans="1:1" x14ac:dyDescent="0.25">
      <c r="A4989" s="19" t="s">
        <v>7555</v>
      </c>
    </row>
    <row r="4990" spans="1:1" x14ac:dyDescent="0.25">
      <c r="A4990" s="19" t="s">
        <v>7556</v>
      </c>
    </row>
    <row r="4991" spans="1:1" x14ac:dyDescent="0.25">
      <c r="A4991" s="19" t="s">
        <v>7556</v>
      </c>
    </row>
    <row r="4992" spans="1:1" x14ac:dyDescent="0.25">
      <c r="A4992" s="19" t="s">
        <v>7556</v>
      </c>
    </row>
    <row r="4993" spans="1:1" x14ac:dyDescent="0.25">
      <c r="A4993" s="19" t="s">
        <v>7557</v>
      </c>
    </row>
    <row r="4994" spans="1:1" x14ac:dyDescent="0.25">
      <c r="A4994" s="19" t="s">
        <v>7558</v>
      </c>
    </row>
    <row r="4995" spans="1:1" x14ac:dyDescent="0.25">
      <c r="A4995" s="19" t="s">
        <v>7559</v>
      </c>
    </row>
    <row r="4996" spans="1:1" x14ac:dyDescent="0.25">
      <c r="A4996" s="19" t="s">
        <v>7560</v>
      </c>
    </row>
    <row r="4997" spans="1:1" x14ac:dyDescent="0.25">
      <c r="A4997" s="19" t="s">
        <v>7561</v>
      </c>
    </row>
    <row r="4998" spans="1:1" x14ac:dyDescent="0.25">
      <c r="A4998" s="19" t="s">
        <v>7562</v>
      </c>
    </row>
    <row r="4999" spans="1:1" x14ac:dyDescent="0.25">
      <c r="A4999" s="19" t="s">
        <v>7563</v>
      </c>
    </row>
    <row r="5000" spans="1:1" x14ac:dyDescent="0.25">
      <c r="A5000" s="19" t="s">
        <v>7564</v>
      </c>
    </row>
    <row r="5001" spans="1:1" x14ac:dyDescent="0.25">
      <c r="A5001" s="19" t="s">
        <v>7565</v>
      </c>
    </row>
    <row r="5002" spans="1:1" x14ac:dyDescent="0.25">
      <c r="A5002" s="19" t="s">
        <v>7566</v>
      </c>
    </row>
    <row r="5003" spans="1:1" x14ac:dyDescent="0.25">
      <c r="A5003" s="19" t="s">
        <v>7567</v>
      </c>
    </row>
    <row r="5004" spans="1:1" x14ac:dyDescent="0.25">
      <c r="A5004" s="19" t="s">
        <v>7568</v>
      </c>
    </row>
    <row r="5005" spans="1:1" x14ac:dyDescent="0.25">
      <c r="A5005" s="19" t="s">
        <v>7569</v>
      </c>
    </row>
    <row r="5006" spans="1:1" x14ac:dyDescent="0.25">
      <c r="A5006" s="19" t="s">
        <v>7570</v>
      </c>
    </row>
    <row r="5007" spans="1:1" x14ac:dyDescent="0.25">
      <c r="A5007" s="19" t="s">
        <v>7571</v>
      </c>
    </row>
    <row r="5008" spans="1:1" x14ac:dyDescent="0.25">
      <c r="A5008" s="19" t="s">
        <v>7572</v>
      </c>
    </row>
    <row r="5009" spans="1:1" x14ac:dyDescent="0.25">
      <c r="A5009" s="19" t="s">
        <v>7573</v>
      </c>
    </row>
    <row r="5010" spans="1:1" x14ac:dyDescent="0.25">
      <c r="A5010" s="19" t="s">
        <v>7574</v>
      </c>
    </row>
    <row r="5011" spans="1:1" x14ac:dyDescent="0.25">
      <c r="A5011" s="19" t="s">
        <v>7575</v>
      </c>
    </row>
    <row r="5012" spans="1:1" x14ac:dyDescent="0.25">
      <c r="A5012" s="19" t="s">
        <v>7576</v>
      </c>
    </row>
    <row r="5013" spans="1:1" x14ac:dyDescent="0.25">
      <c r="A5013" s="19" t="s">
        <v>7577</v>
      </c>
    </row>
    <row r="5014" spans="1:1" x14ac:dyDescent="0.25">
      <c r="A5014" s="19" t="s">
        <v>7578</v>
      </c>
    </row>
    <row r="5015" spans="1:1" x14ac:dyDescent="0.25">
      <c r="A5015" s="19" t="s">
        <v>7579</v>
      </c>
    </row>
    <row r="5016" spans="1:1" x14ac:dyDescent="0.25">
      <c r="A5016" s="19" t="s">
        <v>7580</v>
      </c>
    </row>
    <row r="5017" spans="1:1" x14ac:dyDescent="0.25">
      <c r="A5017" s="19" t="s">
        <v>7581</v>
      </c>
    </row>
    <row r="5018" spans="1:1" x14ac:dyDescent="0.25">
      <c r="A5018" s="19" t="s">
        <v>7582</v>
      </c>
    </row>
    <row r="5019" spans="1:1" x14ac:dyDescent="0.25">
      <c r="A5019" s="19" t="s">
        <v>7583</v>
      </c>
    </row>
    <row r="5020" spans="1:1" x14ac:dyDescent="0.25">
      <c r="A5020" s="19" t="s">
        <v>7584</v>
      </c>
    </row>
    <row r="5021" spans="1:1" x14ac:dyDescent="0.25">
      <c r="A5021" s="19" t="s">
        <v>7585</v>
      </c>
    </row>
    <row r="5022" spans="1:1" x14ac:dyDescent="0.25">
      <c r="A5022" s="19" t="s">
        <v>7586</v>
      </c>
    </row>
    <row r="5023" spans="1:1" x14ac:dyDescent="0.25">
      <c r="A5023" s="19" t="s">
        <v>7587</v>
      </c>
    </row>
    <row r="5024" spans="1:1" x14ac:dyDescent="0.25">
      <c r="A5024" s="19" t="s">
        <v>7588</v>
      </c>
    </row>
    <row r="5025" spans="1:1" x14ac:dyDescent="0.25">
      <c r="A5025" s="19" t="s">
        <v>7589</v>
      </c>
    </row>
    <row r="5026" spans="1:1" x14ac:dyDescent="0.25">
      <c r="A5026" s="19" t="s">
        <v>7590</v>
      </c>
    </row>
    <row r="5027" spans="1:1" x14ac:dyDescent="0.25">
      <c r="A5027" s="19" t="s">
        <v>7591</v>
      </c>
    </row>
    <row r="5028" spans="1:1" x14ac:dyDescent="0.25">
      <c r="A5028" s="19" t="s">
        <v>7592</v>
      </c>
    </row>
    <row r="5029" spans="1:1" x14ac:dyDescent="0.25">
      <c r="A5029" s="19" t="s">
        <v>7593</v>
      </c>
    </row>
    <row r="5030" spans="1:1" x14ac:dyDescent="0.25">
      <c r="A5030" s="19" t="s">
        <v>7594</v>
      </c>
    </row>
    <row r="5031" spans="1:1" x14ac:dyDescent="0.25">
      <c r="A5031" s="19" t="s">
        <v>7595</v>
      </c>
    </row>
    <row r="5032" spans="1:1" x14ac:dyDescent="0.25">
      <c r="A5032" s="19" t="s">
        <v>7596</v>
      </c>
    </row>
    <row r="5033" spans="1:1" x14ac:dyDescent="0.25">
      <c r="A5033" s="19" t="s">
        <v>7597</v>
      </c>
    </row>
    <row r="5034" spans="1:1" x14ac:dyDescent="0.25">
      <c r="A5034" s="19" t="s">
        <v>7598</v>
      </c>
    </row>
    <row r="5035" spans="1:1" x14ac:dyDescent="0.25">
      <c r="A5035" s="19" t="s">
        <v>7599</v>
      </c>
    </row>
    <row r="5036" spans="1:1" x14ac:dyDescent="0.25">
      <c r="A5036" s="19" t="s">
        <v>7600</v>
      </c>
    </row>
    <row r="5037" spans="1:1" x14ac:dyDescent="0.25">
      <c r="A5037" s="19" t="s">
        <v>7601</v>
      </c>
    </row>
    <row r="5038" spans="1:1" x14ac:dyDescent="0.25">
      <c r="A5038" s="19" t="s">
        <v>7602</v>
      </c>
    </row>
    <row r="5039" spans="1:1" x14ac:dyDescent="0.25">
      <c r="A5039" s="19" t="s">
        <v>7603</v>
      </c>
    </row>
    <row r="5040" spans="1:1" x14ac:dyDescent="0.25">
      <c r="A5040" s="19" t="s">
        <v>7604</v>
      </c>
    </row>
    <row r="5041" spans="1:1" x14ac:dyDescent="0.25">
      <c r="A5041" s="19" t="s">
        <v>7604</v>
      </c>
    </row>
    <row r="5042" spans="1:1" x14ac:dyDescent="0.25">
      <c r="A5042" s="19" t="s">
        <v>7604</v>
      </c>
    </row>
    <row r="5043" spans="1:1" x14ac:dyDescent="0.25">
      <c r="A5043" s="19" t="s">
        <v>7605</v>
      </c>
    </row>
    <row r="5044" spans="1:1" x14ac:dyDescent="0.25">
      <c r="A5044" s="19" t="s">
        <v>7606</v>
      </c>
    </row>
    <row r="5045" spans="1:1" x14ac:dyDescent="0.25">
      <c r="A5045" s="19" t="s">
        <v>7607</v>
      </c>
    </row>
    <row r="5046" spans="1:1" x14ac:dyDescent="0.25">
      <c r="A5046" s="19" t="s">
        <v>7608</v>
      </c>
    </row>
    <row r="5047" spans="1:1" x14ac:dyDescent="0.25">
      <c r="A5047" s="19" t="s">
        <v>7609</v>
      </c>
    </row>
    <row r="5048" spans="1:1" x14ac:dyDescent="0.25">
      <c r="A5048" s="19" t="s">
        <v>7610</v>
      </c>
    </row>
    <row r="5049" spans="1:1" x14ac:dyDescent="0.25">
      <c r="A5049" s="19" t="s">
        <v>7611</v>
      </c>
    </row>
    <row r="5050" spans="1:1" x14ac:dyDescent="0.25">
      <c r="A5050" s="19" t="s">
        <v>7612</v>
      </c>
    </row>
    <row r="5051" spans="1:1" x14ac:dyDescent="0.25">
      <c r="A5051" s="19" t="s">
        <v>7613</v>
      </c>
    </row>
    <row r="5052" spans="1:1" x14ac:dyDescent="0.25">
      <c r="A5052" s="19" t="s">
        <v>7614</v>
      </c>
    </row>
    <row r="5053" spans="1:1" x14ac:dyDescent="0.25">
      <c r="A5053" s="19" t="s">
        <v>7615</v>
      </c>
    </row>
    <row r="5054" spans="1:1" x14ac:dyDescent="0.25">
      <c r="A5054" s="19" t="s">
        <v>7615</v>
      </c>
    </row>
    <row r="5055" spans="1:1" x14ac:dyDescent="0.25">
      <c r="A5055" s="19" t="s">
        <v>7616</v>
      </c>
    </row>
    <row r="5056" spans="1:1" x14ac:dyDescent="0.25">
      <c r="A5056" s="19" t="s">
        <v>7617</v>
      </c>
    </row>
    <row r="5057" spans="1:1" x14ac:dyDescent="0.25">
      <c r="A5057" s="19" t="s">
        <v>7618</v>
      </c>
    </row>
    <row r="5058" spans="1:1" x14ac:dyDescent="0.25">
      <c r="A5058" s="19" t="s">
        <v>7619</v>
      </c>
    </row>
    <row r="5059" spans="1:1" x14ac:dyDescent="0.25">
      <c r="A5059" s="19" t="s">
        <v>7620</v>
      </c>
    </row>
    <row r="5060" spans="1:1" x14ac:dyDescent="0.25">
      <c r="A5060" s="19" t="s">
        <v>7621</v>
      </c>
    </row>
    <row r="5061" spans="1:1" x14ac:dyDescent="0.25">
      <c r="A5061" s="19" t="s">
        <v>7622</v>
      </c>
    </row>
    <row r="5062" spans="1:1" x14ac:dyDescent="0.25">
      <c r="A5062" s="19" t="s">
        <v>7623</v>
      </c>
    </row>
    <row r="5063" spans="1:1" x14ac:dyDescent="0.25">
      <c r="A5063" s="19" t="s">
        <v>7624</v>
      </c>
    </row>
    <row r="5064" spans="1:1" x14ac:dyDescent="0.25">
      <c r="A5064" s="19" t="s">
        <v>7625</v>
      </c>
    </row>
    <row r="5065" spans="1:1" x14ac:dyDescent="0.25">
      <c r="A5065" s="19" t="s">
        <v>7626</v>
      </c>
    </row>
    <row r="5066" spans="1:1" x14ac:dyDescent="0.25">
      <c r="A5066" s="19" t="s">
        <v>7627</v>
      </c>
    </row>
    <row r="5067" spans="1:1" x14ac:dyDescent="0.25">
      <c r="A5067" s="19" t="s">
        <v>7628</v>
      </c>
    </row>
    <row r="5068" spans="1:1" x14ac:dyDescent="0.25">
      <c r="A5068" s="19" t="s">
        <v>7629</v>
      </c>
    </row>
    <row r="5069" spans="1:1" x14ac:dyDescent="0.25">
      <c r="A5069" s="19" t="s">
        <v>7630</v>
      </c>
    </row>
    <row r="5070" spans="1:1" x14ac:dyDescent="0.25">
      <c r="A5070" s="19" t="s">
        <v>7631</v>
      </c>
    </row>
    <row r="5071" spans="1:1" x14ac:dyDescent="0.25">
      <c r="A5071" s="19" t="s">
        <v>7632</v>
      </c>
    </row>
    <row r="5072" spans="1:1" x14ac:dyDescent="0.25">
      <c r="A5072" s="19" t="s">
        <v>7633</v>
      </c>
    </row>
    <row r="5073" spans="1:1" x14ac:dyDescent="0.25">
      <c r="A5073" s="19" t="s">
        <v>7634</v>
      </c>
    </row>
    <row r="5074" spans="1:1" x14ac:dyDescent="0.25">
      <c r="A5074" s="19" t="s">
        <v>7635</v>
      </c>
    </row>
    <row r="5075" spans="1:1" x14ac:dyDescent="0.25">
      <c r="A5075" s="19" t="s">
        <v>7636</v>
      </c>
    </row>
    <row r="5076" spans="1:1" x14ac:dyDescent="0.25">
      <c r="A5076" s="19" t="s">
        <v>7637</v>
      </c>
    </row>
    <row r="5077" spans="1:1" x14ac:dyDescent="0.25">
      <c r="A5077" s="19" t="s">
        <v>7638</v>
      </c>
    </row>
    <row r="5078" spans="1:1" x14ac:dyDescent="0.25">
      <c r="A5078" s="19" t="s">
        <v>7639</v>
      </c>
    </row>
    <row r="5079" spans="1:1" x14ac:dyDescent="0.25">
      <c r="A5079" s="19" t="s">
        <v>7640</v>
      </c>
    </row>
    <row r="5080" spans="1:1" x14ac:dyDescent="0.25">
      <c r="A5080" s="19" t="s">
        <v>7641</v>
      </c>
    </row>
    <row r="5081" spans="1:1" x14ac:dyDescent="0.25">
      <c r="A5081" s="19" t="s">
        <v>7642</v>
      </c>
    </row>
    <row r="5082" spans="1:1" x14ac:dyDescent="0.25">
      <c r="A5082" s="19" t="s">
        <v>7643</v>
      </c>
    </row>
    <row r="5083" spans="1:1" x14ac:dyDescent="0.25">
      <c r="A5083" s="19" t="s">
        <v>7644</v>
      </c>
    </row>
    <row r="5084" spans="1:1" x14ac:dyDescent="0.25">
      <c r="A5084" s="19" t="s">
        <v>7645</v>
      </c>
    </row>
    <row r="5085" spans="1:1" x14ac:dyDescent="0.25">
      <c r="A5085" s="19" t="s">
        <v>7646</v>
      </c>
    </row>
    <row r="5086" spans="1:1" x14ac:dyDescent="0.25">
      <c r="A5086" s="19" t="s">
        <v>7647</v>
      </c>
    </row>
    <row r="5087" spans="1:1" x14ac:dyDescent="0.25">
      <c r="A5087" s="19" t="s">
        <v>7648</v>
      </c>
    </row>
    <row r="5088" spans="1:1" x14ac:dyDescent="0.25">
      <c r="A5088" s="19" t="s">
        <v>7649</v>
      </c>
    </row>
    <row r="5089" spans="1:1" x14ac:dyDescent="0.25">
      <c r="A5089" s="19" t="s">
        <v>7650</v>
      </c>
    </row>
    <row r="5090" spans="1:1" x14ac:dyDescent="0.25">
      <c r="A5090" s="19" t="s">
        <v>7651</v>
      </c>
    </row>
    <row r="5091" spans="1:1" x14ac:dyDescent="0.25">
      <c r="A5091" s="19" t="s">
        <v>7652</v>
      </c>
    </row>
    <row r="5092" spans="1:1" x14ac:dyDescent="0.25">
      <c r="A5092" s="19" t="s">
        <v>7653</v>
      </c>
    </row>
    <row r="5093" spans="1:1" x14ac:dyDescent="0.25">
      <c r="A5093" s="19" t="s">
        <v>7654</v>
      </c>
    </row>
    <row r="5094" spans="1:1" x14ac:dyDescent="0.25">
      <c r="A5094" s="19" t="s">
        <v>7655</v>
      </c>
    </row>
    <row r="5095" spans="1:1" x14ac:dyDescent="0.25">
      <c r="A5095" s="19" t="s">
        <v>7656</v>
      </c>
    </row>
    <row r="5096" spans="1:1" x14ac:dyDescent="0.25">
      <c r="A5096" s="19" t="s">
        <v>7657</v>
      </c>
    </row>
    <row r="5097" spans="1:1" x14ac:dyDescent="0.25">
      <c r="A5097" s="19" t="s">
        <v>7658</v>
      </c>
    </row>
    <row r="5098" spans="1:1" x14ac:dyDescent="0.25">
      <c r="A5098" s="19" t="s">
        <v>7659</v>
      </c>
    </row>
    <row r="5099" spans="1:1" x14ac:dyDescent="0.25">
      <c r="A5099" s="19" t="s">
        <v>7660</v>
      </c>
    </row>
    <row r="5100" spans="1:1" x14ac:dyDescent="0.25">
      <c r="A5100" s="19" t="s">
        <v>7661</v>
      </c>
    </row>
    <row r="5101" spans="1:1" x14ac:dyDescent="0.25">
      <c r="A5101" s="19" t="s">
        <v>7662</v>
      </c>
    </row>
    <row r="5102" spans="1:1" x14ac:dyDescent="0.25">
      <c r="A5102" s="19" t="s">
        <v>7663</v>
      </c>
    </row>
    <row r="5103" spans="1:1" x14ac:dyDescent="0.25">
      <c r="A5103" s="19" t="s">
        <v>7664</v>
      </c>
    </row>
    <row r="5104" spans="1:1" x14ac:dyDescent="0.25">
      <c r="A5104" s="19" t="s">
        <v>7665</v>
      </c>
    </row>
    <row r="5105" spans="1:1" x14ac:dyDescent="0.25">
      <c r="A5105" s="19" t="s">
        <v>7666</v>
      </c>
    </row>
    <row r="5106" spans="1:1" x14ac:dyDescent="0.25">
      <c r="A5106" s="19" t="s">
        <v>7667</v>
      </c>
    </row>
    <row r="5107" spans="1:1" x14ac:dyDescent="0.25">
      <c r="A5107" s="19" t="s">
        <v>7668</v>
      </c>
    </row>
    <row r="5108" spans="1:1" x14ac:dyDescent="0.25">
      <c r="A5108" s="19" t="s">
        <v>7669</v>
      </c>
    </row>
    <row r="5109" spans="1:1" x14ac:dyDescent="0.25">
      <c r="A5109" s="19" t="s">
        <v>7670</v>
      </c>
    </row>
    <row r="5110" spans="1:1" x14ac:dyDescent="0.25">
      <c r="A5110" s="19" t="s">
        <v>7671</v>
      </c>
    </row>
    <row r="5111" spans="1:1" x14ac:dyDescent="0.25">
      <c r="A5111" s="19" t="s">
        <v>7672</v>
      </c>
    </row>
    <row r="5112" spans="1:1" x14ac:dyDescent="0.25">
      <c r="A5112" s="19" t="s">
        <v>7673</v>
      </c>
    </row>
    <row r="5113" spans="1:1" x14ac:dyDescent="0.25">
      <c r="A5113" s="19" t="s">
        <v>7674</v>
      </c>
    </row>
    <row r="5114" spans="1:1" x14ac:dyDescent="0.25">
      <c r="A5114" s="19" t="s">
        <v>7675</v>
      </c>
    </row>
    <row r="5115" spans="1:1" x14ac:dyDescent="0.25">
      <c r="A5115" s="19" t="s">
        <v>7676</v>
      </c>
    </row>
    <row r="5116" spans="1:1" x14ac:dyDescent="0.25">
      <c r="A5116" s="19" t="s">
        <v>7677</v>
      </c>
    </row>
    <row r="5117" spans="1:1" x14ac:dyDescent="0.25">
      <c r="A5117" s="19" t="s">
        <v>7678</v>
      </c>
    </row>
    <row r="5118" spans="1:1" x14ac:dyDescent="0.25">
      <c r="A5118" s="19" t="s">
        <v>7679</v>
      </c>
    </row>
    <row r="5119" spans="1:1" x14ac:dyDescent="0.25">
      <c r="A5119" s="19" t="s">
        <v>7680</v>
      </c>
    </row>
    <row r="5120" spans="1:1" x14ac:dyDescent="0.25">
      <c r="A5120" s="19" t="s">
        <v>7681</v>
      </c>
    </row>
    <row r="5121" spans="1:1" x14ac:dyDescent="0.25">
      <c r="A5121" s="19" t="s">
        <v>7682</v>
      </c>
    </row>
    <row r="5122" spans="1:1" x14ac:dyDescent="0.25">
      <c r="A5122" s="19" t="s">
        <v>7683</v>
      </c>
    </row>
    <row r="5123" spans="1:1" x14ac:dyDescent="0.25">
      <c r="A5123" s="19" t="s">
        <v>7684</v>
      </c>
    </row>
    <row r="5124" spans="1:1" x14ac:dyDescent="0.25">
      <c r="A5124" s="19" t="s">
        <v>7685</v>
      </c>
    </row>
    <row r="5125" spans="1:1" x14ac:dyDescent="0.25">
      <c r="A5125" s="19" t="s">
        <v>7686</v>
      </c>
    </row>
    <row r="5126" spans="1:1" x14ac:dyDescent="0.25">
      <c r="A5126" s="19" t="s">
        <v>7687</v>
      </c>
    </row>
    <row r="5127" spans="1:1" x14ac:dyDescent="0.25">
      <c r="A5127" s="19" t="s">
        <v>7688</v>
      </c>
    </row>
    <row r="5128" spans="1:1" x14ac:dyDescent="0.25">
      <c r="A5128" s="19" t="s">
        <v>7689</v>
      </c>
    </row>
    <row r="5129" spans="1:1" x14ac:dyDescent="0.25">
      <c r="A5129" s="19" t="s">
        <v>7690</v>
      </c>
    </row>
    <row r="5130" spans="1:1" x14ac:dyDescent="0.25">
      <c r="A5130" s="19" t="s">
        <v>7691</v>
      </c>
    </row>
    <row r="5131" spans="1:1" x14ac:dyDescent="0.25">
      <c r="A5131" s="19" t="s">
        <v>7692</v>
      </c>
    </row>
    <row r="5132" spans="1:1" x14ac:dyDescent="0.25">
      <c r="A5132" s="19" t="s">
        <v>7693</v>
      </c>
    </row>
    <row r="5133" spans="1:1" x14ac:dyDescent="0.25">
      <c r="A5133" s="19" t="s">
        <v>7694</v>
      </c>
    </row>
    <row r="5134" spans="1:1" x14ac:dyDescent="0.25">
      <c r="A5134" s="19" t="s">
        <v>7695</v>
      </c>
    </row>
    <row r="5135" spans="1:1" x14ac:dyDescent="0.25">
      <c r="A5135" s="19" t="s">
        <v>7696</v>
      </c>
    </row>
    <row r="5136" spans="1:1" x14ac:dyDescent="0.25">
      <c r="A5136" s="19" t="s">
        <v>7697</v>
      </c>
    </row>
    <row r="5137" spans="1:1" x14ac:dyDescent="0.25">
      <c r="A5137" s="19" t="s">
        <v>7698</v>
      </c>
    </row>
    <row r="5138" spans="1:1" x14ac:dyDescent="0.25">
      <c r="A5138" s="19" t="s">
        <v>7699</v>
      </c>
    </row>
    <row r="5139" spans="1:1" x14ac:dyDescent="0.25">
      <c r="A5139" s="19" t="s">
        <v>7700</v>
      </c>
    </row>
    <row r="5140" spans="1:1" x14ac:dyDescent="0.25">
      <c r="A5140" s="19" t="s">
        <v>7701</v>
      </c>
    </row>
    <row r="5141" spans="1:1" x14ac:dyDescent="0.25">
      <c r="A5141" s="19" t="s">
        <v>7702</v>
      </c>
    </row>
    <row r="5142" spans="1:1" x14ac:dyDescent="0.25">
      <c r="A5142" s="19" t="s">
        <v>7703</v>
      </c>
    </row>
    <row r="5143" spans="1:1" x14ac:dyDescent="0.25">
      <c r="A5143" s="19" t="s">
        <v>7704</v>
      </c>
    </row>
    <row r="5144" spans="1:1" x14ac:dyDescent="0.25">
      <c r="A5144" s="19" t="s">
        <v>7705</v>
      </c>
    </row>
    <row r="5145" spans="1:1" x14ac:dyDescent="0.25">
      <c r="A5145" s="19" t="s">
        <v>7706</v>
      </c>
    </row>
    <row r="5146" spans="1:1" x14ac:dyDescent="0.25">
      <c r="A5146" s="19" t="s">
        <v>7707</v>
      </c>
    </row>
    <row r="5147" spans="1:1" x14ac:dyDescent="0.25">
      <c r="A5147" s="19" t="s">
        <v>7708</v>
      </c>
    </row>
    <row r="5148" spans="1:1" x14ac:dyDescent="0.25">
      <c r="A5148" s="19" t="s">
        <v>7709</v>
      </c>
    </row>
    <row r="5149" spans="1:1" x14ac:dyDescent="0.25">
      <c r="A5149" s="19" t="s">
        <v>7710</v>
      </c>
    </row>
    <row r="5150" spans="1:1" x14ac:dyDescent="0.25">
      <c r="A5150" s="19" t="s">
        <v>7711</v>
      </c>
    </row>
    <row r="5151" spans="1:1" x14ac:dyDescent="0.25">
      <c r="A5151" s="19" t="s">
        <v>7712</v>
      </c>
    </row>
    <row r="5152" spans="1:1" x14ac:dyDescent="0.25">
      <c r="A5152" s="19" t="s">
        <v>7713</v>
      </c>
    </row>
    <row r="5153" spans="1:1" x14ac:dyDescent="0.25">
      <c r="A5153" s="19" t="s">
        <v>7714</v>
      </c>
    </row>
    <row r="5154" spans="1:1" x14ac:dyDescent="0.25">
      <c r="A5154" s="19" t="s">
        <v>7715</v>
      </c>
    </row>
    <row r="5155" spans="1:1" x14ac:dyDescent="0.25">
      <c r="A5155" s="19" t="s">
        <v>7716</v>
      </c>
    </row>
    <row r="5156" spans="1:1" x14ac:dyDescent="0.25">
      <c r="A5156" s="19" t="s">
        <v>7717</v>
      </c>
    </row>
    <row r="5157" spans="1:1" x14ac:dyDescent="0.25">
      <c r="A5157" s="19" t="s">
        <v>7718</v>
      </c>
    </row>
    <row r="5158" spans="1:1" x14ac:dyDescent="0.25">
      <c r="A5158" s="19" t="s">
        <v>7719</v>
      </c>
    </row>
    <row r="5159" spans="1:1" x14ac:dyDescent="0.25">
      <c r="A5159" s="19" t="s">
        <v>7720</v>
      </c>
    </row>
    <row r="5160" spans="1:1" x14ac:dyDescent="0.25">
      <c r="A5160" s="19" t="s">
        <v>7721</v>
      </c>
    </row>
    <row r="5161" spans="1:1" x14ac:dyDescent="0.25">
      <c r="A5161" s="19" t="s">
        <v>7722</v>
      </c>
    </row>
    <row r="5162" spans="1:1" x14ac:dyDescent="0.25">
      <c r="A5162" s="19" t="s">
        <v>7723</v>
      </c>
    </row>
    <row r="5163" spans="1:1" x14ac:dyDescent="0.25">
      <c r="A5163" s="19" t="s">
        <v>7724</v>
      </c>
    </row>
    <row r="5164" spans="1:1" x14ac:dyDescent="0.25">
      <c r="A5164" s="19" t="s">
        <v>7725</v>
      </c>
    </row>
    <row r="5165" spans="1:1" x14ac:dyDescent="0.25">
      <c r="A5165" s="19" t="s">
        <v>7726</v>
      </c>
    </row>
    <row r="5166" spans="1:1" x14ac:dyDescent="0.25">
      <c r="A5166" s="19" t="s">
        <v>7727</v>
      </c>
    </row>
    <row r="5167" spans="1:1" x14ac:dyDescent="0.25">
      <c r="A5167" s="19" t="s">
        <v>7728</v>
      </c>
    </row>
    <row r="5168" spans="1:1" x14ac:dyDescent="0.25">
      <c r="A5168" s="19" t="s">
        <v>7729</v>
      </c>
    </row>
    <row r="5169" spans="1:1" x14ac:dyDescent="0.25">
      <c r="A5169" s="19" t="s">
        <v>7730</v>
      </c>
    </row>
    <row r="5170" spans="1:1" x14ac:dyDescent="0.25">
      <c r="A5170" s="19" t="s">
        <v>7731</v>
      </c>
    </row>
    <row r="5171" spans="1:1" x14ac:dyDescent="0.25">
      <c r="A5171" s="19" t="s">
        <v>7732</v>
      </c>
    </row>
    <row r="5172" spans="1:1" x14ac:dyDescent="0.25">
      <c r="A5172" s="19" t="s">
        <v>7733</v>
      </c>
    </row>
    <row r="5173" spans="1:1" x14ac:dyDescent="0.25">
      <c r="A5173" s="19" t="s">
        <v>7734</v>
      </c>
    </row>
    <row r="5174" spans="1:1" x14ac:dyDescent="0.25">
      <c r="A5174" s="19" t="s">
        <v>7735</v>
      </c>
    </row>
    <row r="5175" spans="1:1" x14ac:dyDescent="0.25">
      <c r="A5175" s="19" t="s">
        <v>7736</v>
      </c>
    </row>
    <row r="5176" spans="1:1" x14ac:dyDescent="0.25">
      <c r="A5176" s="19" t="s">
        <v>7737</v>
      </c>
    </row>
    <row r="5177" spans="1:1" x14ac:dyDescent="0.25">
      <c r="A5177" s="19" t="s">
        <v>7738</v>
      </c>
    </row>
    <row r="5178" spans="1:1" x14ac:dyDescent="0.25">
      <c r="A5178" s="19" t="s">
        <v>7739</v>
      </c>
    </row>
    <row r="5179" spans="1:1" x14ac:dyDescent="0.25">
      <c r="A5179" s="19" t="s">
        <v>7740</v>
      </c>
    </row>
    <row r="5180" spans="1:1" x14ac:dyDescent="0.25">
      <c r="A5180" s="19" t="s">
        <v>7741</v>
      </c>
    </row>
    <row r="5181" spans="1:1" x14ac:dyDescent="0.25">
      <c r="A5181" s="19" t="s">
        <v>7742</v>
      </c>
    </row>
    <row r="5182" spans="1:1" x14ac:dyDescent="0.25">
      <c r="A5182" s="19" t="s">
        <v>7743</v>
      </c>
    </row>
    <row r="5183" spans="1:1" x14ac:dyDescent="0.25">
      <c r="A5183" s="19" t="s">
        <v>7744</v>
      </c>
    </row>
    <row r="5184" spans="1:1" x14ac:dyDescent="0.25">
      <c r="A5184" s="19" t="s">
        <v>7745</v>
      </c>
    </row>
    <row r="5185" spans="1:1" x14ac:dyDescent="0.25">
      <c r="A5185" s="19" t="s">
        <v>7746</v>
      </c>
    </row>
    <row r="5186" spans="1:1" x14ac:dyDescent="0.25">
      <c r="A5186" s="19" t="s">
        <v>7747</v>
      </c>
    </row>
    <row r="5187" spans="1:1" x14ac:dyDescent="0.25">
      <c r="A5187" s="19" t="s">
        <v>7748</v>
      </c>
    </row>
    <row r="5188" spans="1:1" x14ac:dyDescent="0.25">
      <c r="A5188" s="19" t="s">
        <v>7749</v>
      </c>
    </row>
    <row r="5189" spans="1:1" x14ac:dyDescent="0.25">
      <c r="A5189" s="19" t="s">
        <v>7750</v>
      </c>
    </row>
    <row r="5190" spans="1:1" x14ac:dyDescent="0.25">
      <c r="A5190" s="19" t="s">
        <v>7751</v>
      </c>
    </row>
    <row r="5191" spans="1:1" x14ac:dyDescent="0.25">
      <c r="A5191" s="19" t="s">
        <v>7752</v>
      </c>
    </row>
    <row r="5192" spans="1:1" x14ac:dyDescent="0.25">
      <c r="A5192" s="19" t="s">
        <v>7753</v>
      </c>
    </row>
    <row r="5193" spans="1:1" x14ac:dyDescent="0.25">
      <c r="A5193" s="19" t="s">
        <v>7754</v>
      </c>
    </row>
    <row r="5194" spans="1:1" x14ac:dyDescent="0.25">
      <c r="A5194" s="19" t="s">
        <v>7755</v>
      </c>
    </row>
    <row r="5195" spans="1:1" x14ac:dyDescent="0.25">
      <c r="A5195" s="19" t="s">
        <v>7756</v>
      </c>
    </row>
    <row r="5196" spans="1:1" x14ac:dyDescent="0.25">
      <c r="A5196" s="19" t="s">
        <v>7757</v>
      </c>
    </row>
    <row r="5197" spans="1:1" x14ac:dyDescent="0.25">
      <c r="A5197" s="19" t="s">
        <v>7758</v>
      </c>
    </row>
    <row r="5198" spans="1:1" x14ac:dyDescent="0.25">
      <c r="A5198" s="19" t="s">
        <v>7759</v>
      </c>
    </row>
    <row r="5199" spans="1:1" x14ac:dyDescent="0.25">
      <c r="A5199" s="19" t="s">
        <v>7760</v>
      </c>
    </row>
    <row r="5200" spans="1:1" x14ac:dyDescent="0.25">
      <c r="A5200" s="19" t="s">
        <v>7761</v>
      </c>
    </row>
    <row r="5201" spans="1:1" x14ac:dyDescent="0.25">
      <c r="A5201" s="19" t="s">
        <v>7762</v>
      </c>
    </row>
    <row r="5202" spans="1:1" x14ac:dyDescent="0.25">
      <c r="A5202" s="19" t="s">
        <v>7763</v>
      </c>
    </row>
    <row r="5203" spans="1:1" x14ac:dyDescent="0.25">
      <c r="A5203" s="19" t="s">
        <v>7764</v>
      </c>
    </row>
    <row r="5204" spans="1:1" x14ac:dyDescent="0.25">
      <c r="A5204" s="19" t="s">
        <v>7765</v>
      </c>
    </row>
    <row r="5205" spans="1:1" x14ac:dyDescent="0.25">
      <c r="A5205" s="19" t="s">
        <v>7766</v>
      </c>
    </row>
    <row r="5206" spans="1:1" x14ac:dyDescent="0.25">
      <c r="A5206" s="19" t="s">
        <v>7766</v>
      </c>
    </row>
    <row r="5207" spans="1:1" x14ac:dyDescent="0.25">
      <c r="A5207" s="19" t="s">
        <v>7767</v>
      </c>
    </row>
    <row r="5208" spans="1:1" x14ac:dyDescent="0.25">
      <c r="A5208" s="19" t="s">
        <v>7768</v>
      </c>
    </row>
    <row r="5209" spans="1:1" x14ac:dyDescent="0.25">
      <c r="A5209" s="19" t="s">
        <v>7769</v>
      </c>
    </row>
    <row r="5210" spans="1:1" x14ac:dyDescent="0.25">
      <c r="A5210" s="19" t="s">
        <v>7770</v>
      </c>
    </row>
    <row r="5211" spans="1:1" x14ac:dyDescent="0.25">
      <c r="A5211" s="19" t="s">
        <v>7771</v>
      </c>
    </row>
    <row r="5212" spans="1:1" x14ac:dyDescent="0.25">
      <c r="A5212" s="19" t="s">
        <v>7772</v>
      </c>
    </row>
    <row r="5213" spans="1:1" x14ac:dyDescent="0.25">
      <c r="A5213" s="19" t="s">
        <v>7773</v>
      </c>
    </row>
    <row r="5214" spans="1:1" x14ac:dyDescent="0.25">
      <c r="A5214" s="19" t="s">
        <v>7774</v>
      </c>
    </row>
    <row r="5215" spans="1:1" x14ac:dyDescent="0.25">
      <c r="A5215" s="19" t="s">
        <v>7775</v>
      </c>
    </row>
    <row r="5216" spans="1:1" x14ac:dyDescent="0.25">
      <c r="A5216" s="19" t="s">
        <v>7776</v>
      </c>
    </row>
    <row r="5217" spans="1:1" x14ac:dyDescent="0.25">
      <c r="A5217" s="19" t="s">
        <v>7777</v>
      </c>
    </row>
    <row r="5218" spans="1:1" x14ac:dyDescent="0.25">
      <c r="A5218" s="19" t="s">
        <v>7778</v>
      </c>
    </row>
    <row r="5219" spans="1:1" x14ac:dyDescent="0.25">
      <c r="A5219" s="19" t="s">
        <v>7779</v>
      </c>
    </row>
    <row r="5220" spans="1:1" x14ac:dyDescent="0.25">
      <c r="A5220" s="19" t="s">
        <v>7780</v>
      </c>
    </row>
    <row r="5221" spans="1:1" x14ac:dyDescent="0.25">
      <c r="A5221" s="19" t="s">
        <v>7781</v>
      </c>
    </row>
    <row r="5222" spans="1:1" x14ac:dyDescent="0.25">
      <c r="A5222" s="19" t="s">
        <v>7782</v>
      </c>
    </row>
    <row r="5223" spans="1:1" x14ac:dyDescent="0.25">
      <c r="A5223" s="19" t="s">
        <v>7783</v>
      </c>
    </row>
    <row r="5224" spans="1:1" x14ac:dyDescent="0.25">
      <c r="A5224" s="19" t="s">
        <v>7784</v>
      </c>
    </row>
    <row r="5225" spans="1:1" x14ac:dyDescent="0.25">
      <c r="A5225" s="19" t="s">
        <v>7785</v>
      </c>
    </row>
    <row r="5226" spans="1:1" x14ac:dyDescent="0.25">
      <c r="A5226" s="19" t="s">
        <v>7786</v>
      </c>
    </row>
    <row r="5227" spans="1:1" x14ac:dyDescent="0.25">
      <c r="A5227" s="19" t="s">
        <v>7787</v>
      </c>
    </row>
    <row r="5228" spans="1:1" x14ac:dyDescent="0.25">
      <c r="A5228" s="19" t="s">
        <v>7788</v>
      </c>
    </row>
    <row r="5229" spans="1:1" x14ac:dyDescent="0.25">
      <c r="A5229" s="19" t="s">
        <v>7789</v>
      </c>
    </row>
    <row r="5230" spans="1:1" x14ac:dyDescent="0.25">
      <c r="A5230" s="19" t="s">
        <v>7790</v>
      </c>
    </row>
    <row r="5231" spans="1:1" x14ac:dyDescent="0.25">
      <c r="A5231" s="19" t="s">
        <v>7791</v>
      </c>
    </row>
    <row r="5232" spans="1:1" x14ac:dyDescent="0.25">
      <c r="A5232" s="19" t="s">
        <v>7792</v>
      </c>
    </row>
    <row r="5233" spans="1:1" x14ac:dyDescent="0.25">
      <c r="A5233" s="19" t="s">
        <v>7793</v>
      </c>
    </row>
    <row r="5234" spans="1:1" x14ac:dyDescent="0.25">
      <c r="A5234" s="19" t="s">
        <v>7794</v>
      </c>
    </row>
    <row r="5235" spans="1:1" x14ac:dyDescent="0.25">
      <c r="A5235" s="19" t="s">
        <v>7795</v>
      </c>
    </row>
    <row r="5236" spans="1:1" x14ac:dyDescent="0.25">
      <c r="A5236" s="19" t="s">
        <v>7796</v>
      </c>
    </row>
    <row r="5237" spans="1:1" x14ac:dyDescent="0.25">
      <c r="A5237" s="19" t="s">
        <v>7797</v>
      </c>
    </row>
    <row r="5238" spans="1:1" x14ac:dyDescent="0.25">
      <c r="A5238" s="19" t="s">
        <v>7798</v>
      </c>
    </row>
    <row r="5239" spans="1:1" x14ac:dyDescent="0.25">
      <c r="A5239" s="19" t="s">
        <v>7799</v>
      </c>
    </row>
    <row r="5240" spans="1:1" x14ac:dyDescent="0.25">
      <c r="A5240" s="19" t="s">
        <v>7800</v>
      </c>
    </row>
    <row r="5241" spans="1:1" x14ac:dyDescent="0.25">
      <c r="A5241" s="19" t="s">
        <v>7801</v>
      </c>
    </row>
    <row r="5242" spans="1:1" x14ac:dyDescent="0.25">
      <c r="A5242" s="19" t="s">
        <v>7802</v>
      </c>
    </row>
    <row r="5243" spans="1:1" x14ac:dyDescent="0.25">
      <c r="A5243" s="19" t="s">
        <v>7803</v>
      </c>
    </row>
    <row r="5244" spans="1:1" x14ac:dyDescent="0.25">
      <c r="A5244" s="19" t="s">
        <v>7804</v>
      </c>
    </row>
    <row r="5245" spans="1:1" x14ac:dyDescent="0.25">
      <c r="A5245" s="19" t="s">
        <v>7805</v>
      </c>
    </row>
    <row r="5246" spans="1:1" x14ac:dyDescent="0.25">
      <c r="A5246" s="19" t="s">
        <v>7806</v>
      </c>
    </row>
    <row r="5247" spans="1:1" x14ac:dyDescent="0.25">
      <c r="A5247" s="19" t="s">
        <v>7807</v>
      </c>
    </row>
    <row r="5248" spans="1:1" x14ac:dyDescent="0.25">
      <c r="A5248" s="19" t="s">
        <v>7808</v>
      </c>
    </row>
    <row r="5249" spans="1:1" x14ac:dyDescent="0.25">
      <c r="A5249" s="19" t="s">
        <v>7809</v>
      </c>
    </row>
    <row r="5250" spans="1:1" x14ac:dyDescent="0.25">
      <c r="A5250" s="19" t="s">
        <v>7810</v>
      </c>
    </row>
    <row r="5251" spans="1:1" x14ac:dyDescent="0.25">
      <c r="A5251" s="19" t="s">
        <v>7811</v>
      </c>
    </row>
    <row r="5252" spans="1:1" x14ac:dyDescent="0.25">
      <c r="A5252" s="19" t="s">
        <v>7812</v>
      </c>
    </row>
    <row r="5253" spans="1:1" x14ac:dyDescent="0.25">
      <c r="A5253" s="19" t="s">
        <v>7813</v>
      </c>
    </row>
    <row r="5254" spans="1:1" x14ac:dyDescent="0.25">
      <c r="A5254" s="19" t="s">
        <v>7814</v>
      </c>
    </row>
    <row r="5255" spans="1:1" x14ac:dyDescent="0.25">
      <c r="A5255" s="19" t="s">
        <v>7815</v>
      </c>
    </row>
    <row r="5256" spans="1:1" x14ac:dyDescent="0.25">
      <c r="A5256" s="19" t="s">
        <v>7816</v>
      </c>
    </row>
    <row r="5257" spans="1:1" x14ac:dyDescent="0.25">
      <c r="A5257" s="19" t="s">
        <v>7817</v>
      </c>
    </row>
    <row r="5258" spans="1:1" x14ac:dyDescent="0.25">
      <c r="A5258" s="19" t="s">
        <v>7818</v>
      </c>
    </row>
    <row r="5259" spans="1:1" x14ac:dyDescent="0.25">
      <c r="A5259" s="19" t="s">
        <v>7819</v>
      </c>
    </row>
    <row r="5260" spans="1:1" x14ac:dyDescent="0.25">
      <c r="A5260" s="19" t="s">
        <v>7820</v>
      </c>
    </row>
    <row r="5261" spans="1:1" x14ac:dyDescent="0.25">
      <c r="A5261" s="19" t="s">
        <v>7821</v>
      </c>
    </row>
    <row r="5262" spans="1:1" x14ac:dyDescent="0.25">
      <c r="A5262" s="19" t="s">
        <v>7821</v>
      </c>
    </row>
    <row r="5263" spans="1:1" x14ac:dyDescent="0.25">
      <c r="A5263" s="19" t="s">
        <v>7822</v>
      </c>
    </row>
    <row r="5264" spans="1:1" x14ac:dyDescent="0.25">
      <c r="A5264" s="19" t="s">
        <v>7823</v>
      </c>
    </row>
    <row r="5265" spans="1:1" x14ac:dyDescent="0.25">
      <c r="A5265" s="19" t="s">
        <v>7824</v>
      </c>
    </row>
    <row r="5266" spans="1:1" x14ac:dyDescent="0.25">
      <c r="A5266" s="19" t="s">
        <v>7825</v>
      </c>
    </row>
    <row r="5267" spans="1:1" x14ac:dyDescent="0.25">
      <c r="A5267" s="19" t="s">
        <v>7826</v>
      </c>
    </row>
    <row r="5268" spans="1:1" x14ac:dyDescent="0.25">
      <c r="A5268" s="19" t="s">
        <v>7827</v>
      </c>
    </row>
    <row r="5269" spans="1:1" x14ac:dyDescent="0.25">
      <c r="A5269" s="19" t="s">
        <v>7828</v>
      </c>
    </row>
    <row r="5270" spans="1:1" x14ac:dyDescent="0.25">
      <c r="A5270" s="19" t="s">
        <v>7829</v>
      </c>
    </row>
    <row r="5271" spans="1:1" x14ac:dyDescent="0.25">
      <c r="A5271" s="19" t="s">
        <v>7830</v>
      </c>
    </row>
    <row r="5272" spans="1:1" x14ac:dyDescent="0.25">
      <c r="A5272" s="19" t="s">
        <v>7831</v>
      </c>
    </row>
    <row r="5273" spans="1:1" x14ac:dyDescent="0.25">
      <c r="A5273" s="19" t="s">
        <v>7832</v>
      </c>
    </row>
    <row r="5274" spans="1:1" x14ac:dyDescent="0.25">
      <c r="A5274" s="19" t="s">
        <v>7833</v>
      </c>
    </row>
    <row r="5275" spans="1:1" x14ac:dyDescent="0.25">
      <c r="A5275" s="19" t="s">
        <v>7834</v>
      </c>
    </row>
    <row r="5276" spans="1:1" x14ac:dyDescent="0.25">
      <c r="A5276" s="19" t="s">
        <v>7835</v>
      </c>
    </row>
    <row r="5277" spans="1:1" x14ac:dyDescent="0.25">
      <c r="A5277" s="19" t="s">
        <v>7836</v>
      </c>
    </row>
    <row r="5278" spans="1:1" x14ac:dyDescent="0.25">
      <c r="A5278" s="19" t="s">
        <v>7837</v>
      </c>
    </row>
    <row r="5279" spans="1:1" x14ac:dyDescent="0.25">
      <c r="A5279" s="19" t="s">
        <v>7838</v>
      </c>
    </row>
    <row r="5280" spans="1:1" x14ac:dyDescent="0.25">
      <c r="A5280" s="19" t="s">
        <v>7839</v>
      </c>
    </row>
    <row r="5281" spans="1:1" x14ac:dyDescent="0.25">
      <c r="A5281" s="19" t="s">
        <v>7840</v>
      </c>
    </row>
    <row r="5282" spans="1:1" x14ac:dyDescent="0.25">
      <c r="A5282" s="19" t="s">
        <v>7841</v>
      </c>
    </row>
    <row r="5283" spans="1:1" x14ac:dyDescent="0.25">
      <c r="A5283" s="19" t="s">
        <v>7842</v>
      </c>
    </row>
    <row r="5284" spans="1:1" x14ac:dyDescent="0.25">
      <c r="A5284" s="19" t="s">
        <v>7843</v>
      </c>
    </row>
    <row r="5285" spans="1:1" x14ac:dyDescent="0.25">
      <c r="A5285" s="19" t="s">
        <v>7844</v>
      </c>
    </row>
    <row r="5286" spans="1:1" x14ac:dyDescent="0.25">
      <c r="A5286" s="19" t="s">
        <v>7845</v>
      </c>
    </row>
    <row r="5287" spans="1:1" x14ac:dyDescent="0.25">
      <c r="A5287" s="19" t="s">
        <v>7846</v>
      </c>
    </row>
    <row r="5288" spans="1:1" x14ac:dyDescent="0.25">
      <c r="A5288" s="19" t="s">
        <v>7847</v>
      </c>
    </row>
    <row r="5289" spans="1:1" x14ac:dyDescent="0.25">
      <c r="A5289" s="19" t="s">
        <v>7848</v>
      </c>
    </row>
    <row r="5290" spans="1:1" x14ac:dyDescent="0.25">
      <c r="A5290" s="19" t="s">
        <v>7849</v>
      </c>
    </row>
    <row r="5291" spans="1:1" x14ac:dyDescent="0.25">
      <c r="A5291" s="19" t="s">
        <v>7850</v>
      </c>
    </row>
    <row r="5292" spans="1:1" x14ac:dyDescent="0.25">
      <c r="A5292" s="19" t="s">
        <v>7851</v>
      </c>
    </row>
    <row r="5293" spans="1:1" x14ac:dyDescent="0.25">
      <c r="A5293" s="19" t="s">
        <v>7852</v>
      </c>
    </row>
    <row r="5294" spans="1:1" x14ac:dyDescent="0.25">
      <c r="A5294" s="19" t="s">
        <v>7853</v>
      </c>
    </row>
    <row r="5295" spans="1:1" x14ac:dyDescent="0.25">
      <c r="A5295" s="19" t="s">
        <v>7854</v>
      </c>
    </row>
    <row r="5296" spans="1:1" x14ac:dyDescent="0.25">
      <c r="A5296" s="19" t="s">
        <v>7855</v>
      </c>
    </row>
    <row r="5297" spans="1:1" x14ac:dyDescent="0.25">
      <c r="A5297" s="19" t="s">
        <v>7856</v>
      </c>
    </row>
    <row r="5298" spans="1:1" x14ac:dyDescent="0.25">
      <c r="A5298" s="19" t="s">
        <v>7857</v>
      </c>
    </row>
    <row r="5299" spans="1:1" x14ac:dyDescent="0.25">
      <c r="A5299" s="19" t="s">
        <v>7858</v>
      </c>
    </row>
    <row r="5300" spans="1:1" x14ac:dyDescent="0.25">
      <c r="A5300" s="19" t="s">
        <v>7859</v>
      </c>
    </row>
    <row r="5301" spans="1:1" x14ac:dyDescent="0.25">
      <c r="A5301" s="19" t="s">
        <v>7860</v>
      </c>
    </row>
    <row r="5302" spans="1:1" x14ac:dyDescent="0.25">
      <c r="A5302" s="19" t="s">
        <v>7861</v>
      </c>
    </row>
    <row r="5303" spans="1:1" x14ac:dyDescent="0.25">
      <c r="A5303" s="19" t="s">
        <v>7862</v>
      </c>
    </row>
    <row r="5304" spans="1:1" x14ac:dyDescent="0.25">
      <c r="A5304" s="19" t="s">
        <v>7863</v>
      </c>
    </row>
    <row r="5305" spans="1:1" x14ac:dyDescent="0.25">
      <c r="A5305" s="19" t="s">
        <v>7864</v>
      </c>
    </row>
    <row r="5306" spans="1:1" x14ac:dyDescent="0.25">
      <c r="A5306" s="19" t="s">
        <v>7865</v>
      </c>
    </row>
    <row r="5307" spans="1:1" x14ac:dyDescent="0.25">
      <c r="A5307" s="19" t="s">
        <v>7866</v>
      </c>
    </row>
    <row r="5308" spans="1:1" x14ac:dyDescent="0.25">
      <c r="A5308" s="19" t="s">
        <v>7867</v>
      </c>
    </row>
    <row r="5309" spans="1:1" x14ac:dyDescent="0.25">
      <c r="A5309" s="19" t="s">
        <v>7868</v>
      </c>
    </row>
    <row r="5310" spans="1:1" x14ac:dyDescent="0.25">
      <c r="A5310" s="19" t="s">
        <v>7869</v>
      </c>
    </row>
    <row r="5311" spans="1:1" x14ac:dyDescent="0.25">
      <c r="A5311" s="19" t="s">
        <v>7870</v>
      </c>
    </row>
    <row r="5312" spans="1:1" x14ac:dyDescent="0.25">
      <c r="A5312" s="19" t="s">
        <v>7871</v>
      </c>
    </row>
    <row r="5313" spans="1:1" x14ac:dyDescent="0.25">
      <c r="A5313" s="19" t="s">
        <v>7872</v>
      </c>
    </row>
    <row r="5314" spans="1:1" x14ac:dyDescent="0.25">
      <c r="A5314" s="19" t="s">
        <v>7873</v>
      </c>
    </row>
    <row r="5315" spans="1:1" x14ac:dyDescent="0.25">
      <c r="A5315" s="19" t="s">
        <v>7874</v>
      </c>
    </row>
    <row r="5316" spans="1:1" x14ac:dyDescent="0.25">
      <c r="A5316" s="19" t="s">
        <v>7875</v>
      </c>
    </row>
    <row r="5317" spans="1:1" x14ac:dyDescent="0.25">
      <c r="A5317" s="19" t="s">
        <v>7876</v>
      </c>
    </row>
    <row r="5318" spans="1:1" x14ac:dyDescent="0.25">
      <c r="A5318" s="19" t="s">
        <v>7877</v>
      </c>
    </row>
    <row r="5319" spans="1:1" x14ac:dyDescent="0.25">
      <c r="A5319" s="19" t="s">
        <v>7878</v>
      </c>
    </row>
    <row r="5320" spans="1:1" x14ac:dyDescent="0.25">
      <c r="A5320" s="19" t="s">
        <v>7879</v>
      </c>
    </row>
    <row r="5321" spans="1:1" x14ac:dyDescent="0.25">
      <c r="A5321" s="19" t="s">
        <v>7880</v>
      </c>
    </row>
    <row r="5322" spans="1:1" x14ac:dyDescent="0.25">
      <c r="A5322" s="19" t="s">
        <v>7881</v>
      </c>
    </row>
    <row r="5323" spans="1:1" x14ac:dyDescent="0.25">
      <c r="A5323" s="19" t="s">
        <v>7882</v>
      </c>
    </row>
    <row r="5324" spans="1:1" x14ac:dyDescent="0.25">
      <c r="A5324" s="19" t="s">
        <v>7883</v>
      </c>
    </row>
    <row r="5325" spans="1:1" x14ac:dyDescent="0.25">
      <c r="A5325" s="19" t="s">
        <v>7884</v>
      </c>
    </row>
    <row r="5326" spans="1:1" x14ac:dyDescent="0.25">
      <c r="A5326" s="19" t="s">
        <v>7885</v>
      </c>
    </row>
    <row r="5327" spans="1:1" x14ac:dyDescent="0.25">
      <c r="A5327" s="19" t="s">
        <v>7886</v>
      </c>
    </row>
    <row r="5328" spans="1:1" x14ac:dyDescent="0.25">
      <c r="A5328" s="19" t="s">
        <v>7887</v>
      </c>
    </row>
    <row r="5329" spans="1:1" x14ac:dyDescent="0.25">
      <c r="A5329" s="19" t="s">
        <v>7888</v>
      </c>
    </row>
    <row r="5330" spans="1:1" x14ac:dyDescent="0.25">
      <c r="A5330" s="19" t="s">
        <v>7889</v>
      </c>
    </row>
    <row r="5331" spans="1:1" x14ac:dyDescent="0.25">
      <c r="A5331" s="19" t="s">
        <v>7890</v>
      </c>
    </row>
    <row r="5332" spans="1:1" x14ac:dyDescent="0.25">
      <c r="A5332" s="19" t="s">
        <v>7891</v>
      </c>
    </row>
    <row r="5333" spans="1:1" x14ac:dyDescent="0.25">
      <c r="A5333" s="19" t="s">
        <v>7892</v>
      </c>
    </row>
    <row r="5334" spans="1:1" x14ac:dyDescent="0.25">
      <c r="A5334" s="19" t="s">
        <v>7893</v>
      </c>
    </row>
    <row r="5335" spans="1:1" x14ac:dyDescent="0.25">
      <c r="A5335" s="19" t="s">
        <v>7894</v>
      </c>
    </row>
    <row r="5336" spans="1:1" x14ac:dyDescent="0.25">
      <c r="A5336" s="19" t="s">
        <v>7895</v>
      </c>
    </row>
    <row r="5337" spans="1:1" x14ac:dyDescent="0.25">
      <c r="A5337" s="19" t="s">
        <v>7896</v>
      </c>
    </row>
    <row r="5338" spans="1:1" x14ac:dyDescent="0.25">
      <c r="A5338" s="19" t="s">
        <v>7897</v>
      </c>
    </row>
    <row r="5339" spans="1:1" x14ac:dyDescent="0.25">
      <c r="A5339" s="19" t="s">
        <v>7898</v>
      </c>
    </row>
    <row r="5340" spans="1:1" x14ac:dyDescent="0.25">
      <c r="A5340" s="19" t="s">
        <v>7899</v>
      </c>
    </row>
    <row r="5341" spans="1:1" x14ac:dyDescent="0.25">
      <c r="A5341" s="19" t="s">
        <v>7900</v>
      </c>
    </row>
    <row r="5342" spans="1:1" x14ac:dyDescent="0.25">
      <c r="A5342" s="19" t="s">
        <v>7901</v>
      </c>
    </row>
    <row r="5343" spans="1:1" x14ac:dyDescent="0.25">
      <c r="A5343" s="19" t="s">
        <v>7902</v>
      </c>
    </row>
    <row r="5344" spans="1:1" x14ac:dyDescent="0.25">
      <c r="A5344" s="19" t="s">
        <v>7903</v>
      </c>
    </row>
    <row r="5345" spans="1:1" x14ac:dyDescent="0.25">
      <c r="A5345" s="19" t="s">
        <v>7904</v>
      </c>
    </row>
    <row r="5346" spans="1:1" x14ac:dyDescent="0.25">
      <c r="A5346" s="19" t="s">
        <v>7905</v>
      </c>
    </row>
    <row r="5347" spans="1:1" x14ac:dyDescent="0.25">
      <c r="A5347" s="19" t="s">
        <v>7906</v>
      </c>
    </row>
    <row r="5348" spans="1:1" x14ac:dyDescent="0.25">
      <c r="A5348" s="19" t="s">
        <v>7907</v>
      </c>
    </row>
    <row r="5349" spans="1:1" x14ac:dyDescent="0.25">
      <c r="A5349" s="19" t="s">
        <v>7908</v>
      </c>
    </row>
    <row r="5350" spans="1:1" x14ac:dyDescent="0.25">
      <c r="A5350" s="19" t="s">
        <v>7909</v>
      </c>
    </row>
    <row r="5351" spans="1:1" x14ac:dyDescent="0.25">
      <c r="A5351" s="19" t="s">
        <v>7910</v>
      </c>
    </row>
    <row r="5352" spans="1:1" x14ac:dyDescent="0.25">
      <c r="A5352" s="19" t="s">
        <v>7911</v>
      </c>
    </row>
    <row r="5353" spans="1:1" x14ac:dyDescent="0.25">
      <c r="A5353" s="19" t="s">
        <v>7912</v>
      </c>
    </row>
    <row r="5354" spans="1:1" x14ac:dyDescent="0.25">
      <c r="A5354" s="19" t="s">
        <v>7913</v>
      </c>
    </row>
    <row r="5355" spans="1:1" x14ac:dyDescent="0.25">
      <c r="A5355" s="19" t="s">
        <v>7914</v>
      </c>
    </row>
    <row r="5356" spans="1:1" x14ac:dyDescent="0.25">
      <c r="A5356" s="19" t="s">
        <v>7915</v>
      </c>
    </row>
    <row r="5357" spans="1:1" x14ac:dyDescent="0.25">
      <c r="A5357" s="19" t="s">
        <v>7916</v>
      </c>
    </row>
    <row r="5358" spans="1:1" x14ac:dyDescent="0.25">
      <c r="A5358" s="19" t="s">
        <v>7917</v>
      </c>
    </row>
    <row r="5359" spans="1:1" x14ac:dyDescent="0.25">
      <c r="A5359" s="19" t="s">
        <v>7918</v>
      </c>
    </row>
    <row r="5360" spans="1:1" x14ac:dyDescent="0.25">
      <c r="A5360" s="19" t="s">
        <v>7919</v>
      </c>
    </row>
    <row r="5361" spans="1:1" x14ac:dyDescent="0.25">
      <c r="A5361" s="19" t="s">
        <v>7920</v>
      </c>
    </row>
    <row r="5362" spans="1:1" x14ac:dyDescent="0.25">
      <c r="A5362" s="19" t="s">
        <v>7921</v>
      </c>
    </row>
    <row r="5363" spans="1:1" x14ac:dyDescent="0.25">
      <c r="A5363" s="19" t="s">
        <v>7922</v>
      </c>
    </row>
    <row r="5364" spans="1:1" x14ac:dyDescent="0.25">
      <c r="A5364" s="19" t="s">
        <v>7923</v>
      </c>
    </row>
    <row r="5365" spans="1:1" x14ac:dyDescent="0.25">
      <c r="A5365" s="19" t="s">
        <v>7924</v>
      </c>
    </row>
    <row r="5366" spans="1:1" x14ac:dyDescent="0.25">
      <c r="A5366" s="19" t="s">
        <v>7925</v>
      </c>
    </row>
    <row r="5367" spans="1:1" x14ac:dyDescent="0.25">
      <c r="A5367" s="19" t="s">
        <v>7926</v>
      </c>
    </row>
    <row r="5368" spans="1:1" x14ac:dyDescent="0.25">
      <c r="A5368" s="19" t="s">
        <v>7927</v>
      </c>
    </row>
    <row r="5369" spans="1:1" x14ac:dyDescent="0.25">
      <c r="A5369" s="19" t="s">
        <v>7928</v>
      </c>
    </row>
    <row r="5370" spans="1:1" x14ac:dyDescent="0.25">
      <c r="A5370" s="19" t="s">
        <v>7929</v>
      </c>
    </row>
    <row r="5371" spans="1:1" x14ac:dyDescent="0.25">
      <c r="A5371" s="19" t="s">
        <v>7930</v>
      </c>
    </row>
    <row r="5372" spans="1:1" x14ac:dyDescent="0.25">
      <c r="A5372" s="19" t="s">
        <v>7931</v>
      </c>
    </row>
    <row r="5373" spans="1:1" x14ac:dyDescent="0.25">
      <c r="A5373" s="19" t="s">
        <v>7932</v>
      </c>
    </row>
    <row r="5374" spans="1:1" x14ac:dyDescent="0.25">
      <c r="A5374" s="19" t="s">
        <v>7933</v>
      </c>
    </row>
    <row r="5375" spans="1:1" x14ac:dyDescent="0.25">
      <c r="A5375" s="19" t="s">
        <v>7934</v>
      </c>
    </row>
    <row r="5376" spans="1:1" x14ac:dyDescent="0.25">
      <c r="A5376" s="19" t="s">
        <v>7935</v>
      </c>
    </row>
    <row r="5377" spans="1:1" x14ac:dyDescent="0.25">
      <c r="A5377" s="19" t="s">
        <v>7936</v>
      </c>
    </row>
    <row r="5378" spans="1:1" x14ac:dyDescent="0.25">
      <c r="A5378" s="19" t="s">
        <v>7937</v>
      </c>
    </row>
    <row r="5379" spans="1:1" x14ac:dyDescent="0.25">
      <c r="A5379" s="19" t="s">
        <v>7938</v>
      </c>
    </row>
    <row r="5380" spans="1:1" x14ac:dyDescent="0.25">
      <c r="A5380" s="19" t="s">
        <v>7939</v>
      </c>
    </row>
    <row r="5381" spans="1:1" x14ac:dyDescent="0.25">
      <c r="A5381" s="19" t="s">
        <v>7940</v>
      </c>
    </row>
    <row r="5382" spans="1:1" x14ac:dyDescent="0.25">
      <c r="A5382" s="19" t="s">
        <v>7941</v>
      </c>
    </row>
    <row r="5383" spans="1:1" x14ac:dyDescent="0.25">
      <c r="A5383" s="19" t="s">
        <v>7942</v>
      </c>
    </row>
    <row r="5384" spans="1:1" x14ac:dyDescent="0.25">
      <c r="A5384" s="19" t="s">
        <v>7943</v>
      </c>
    </row>
    <row r="5385" spans="1:1" x14ac:dyDescent="0.25">
      <c r="A5385" s="19" t="s">
        <v>7944</v>
      </c>
    </row>
    <row r="5386" spans="1:1" x14ac:dyDescent="0.25">
      <c r="A5386" s="19" t="s">
        <v>7944</v>
      </c>
    </row>
    <row r="5387" spans="1:1" x14ac:dyDescent="0.25">
      <c r="A5387" s="19" t="s">
        <v>7945</v>
      </c>
    </row>
    <row r="5388" spans="1:1" x14ac:dyDescent="0.25">
      <c r="A5388" s="19" t="s">
        <v>7946</v>
      </c>
    </row>
    <row r="5389" spans="1:1" x14ac:dyDescent="0.25">
      <c r="A5389" s="19" t="s">
        <v>7947</v>
      </c>
    </row>
    <row r="5390" spans="1:1" x14ac:dyDescent="0.25">
      <c r="A5390" s="19" t="s">
        <v>7948</v>
      </c>
    </row>
    <row r="5391" spans="1:1" x14ac:dyDescent="0.25">
      <c r="A5391" s="19" t="s">
        <v>7949</v>
      </c>
    </row>
    <row r="5392" spans="1:1" x14ac:dyDescent="0.25">
      <c r="A5392" s="19" t="s">
        <v>7950</v>
      </c>
    </row>
    <row r="5393" spans="1:1" x14ac:dyDescent="0.25">
      <c r="A5393" s="19" t="s">
        <v>7951</v>
      </c>
    </row>
    <row r="5394" spans="1:1" x14ac:dyDescent="0.25">
      <c r="A5394" s="19" t="s">
        <v>7952</v>
      </c>
    </row>
    <row r="5395" spans="1:1" x14ac:dyDescent="0.25">
      <c r="A5395" s="19" t="s">
        <v>7953</v>
      </c>
    </row>
    <row r="5396" spans="1:1" x14ac:dyDescent="0.25">
      <c r="A5396" s="19" t="s">
        <v>7954</v>
      </c>
    </row>
    <row r="5397" spans="1:1" x14ac:dyDescent="0.25">
      <c r="A5397" s="19" t="s">
        <v>7955</v>
      </c>
    </row>
    <row r="5398" spans="1:1" x14ac:dyDescent="0.25">
      <c r="A5398" s="19" t="s">
        <v>7956</v>
      </c>
    </row>
    <row r="5399" spans="1:1" x14ac:dyDescent="0.25">
      <c r="A5399" s="19" t="s">
        <v>7957</v>
      </c>
    </row>
    <row r="5400" spans="1:1" x14ac:dyDescent="0.25">
      <c r="A5400" s="19" t="s">
        <v>7958</v>
      </c>
    </row>
    <row r="5401" spans="1:1" x14ac:dyDescent="0.25">
      <c r="A5401" s="19" t="s">
        <v>7959</v>
      </c>
    </row>
    <row r="5402" spans="1:1" x14ac:dyDescent="0.25">
      <c r="A5402" s="19" t="s">
        <v>7960</v>
      </c>
    </row>
    <row r="5403" spans="1:1" x14ac:dyDescent="0.25">
      <c r="A5403" s="19" t="s">
        <v>7961</v>
      </c>
    </row>
    <row r="5404" spans="1:1" x14ac:dyDescent="0.25">
      <c r="A5404" s="19" t="s">
        <v>7962</v>
      </c>
    </row>
    <row r="5405" spans="1:1" x14ac:dyDescent="0.25">
      <c r="A5405" s="19" t="s">
        <v>7963</v>
      </c>
    </row>
    <row r="5406" spans="1:1" x14ac:dyDescent="0.25">
      <c r="A5406" s="19" t="s">
        <v>7964</v>
      </c>
    </row>
    <row r="5407" spans="1:1" x14ac:dyDescent="0.25">
      <c r="A5407" s="19" t="s">
        <v>7965</v>
      </c>
    </row>
    <row r="5408" spans="1:1" x14ac:dyDescent="0.25">
      <c r="A5408" s="19" t="s">
        <v>7966</v>
      </c>
    </row>
    <row r="5409" spans="1:1" x14ac:dyDescent="0.25">
      <c r="A5409" s="19" t="s">
        <v>7967</v>
      </c>
    </row>
    <row r="5410" spans="1:1" x14ac:dyDescent="0.25">
      <c r="A5410" s="19" t="s">
        <v>7968</v>
      </c>
    </row>
    <row r="5411" spans="1:1" x14ac:dyDescent="0.25">
      <c r="A5411" s="19" t="s">
        <v>7969</v>
      </c>
    </row>
    <row r="5412" spans="1:1" x14ac:dyDescent="0.25">
      <c r="A5412" s="19" t="s">
        <v>7970</v>
      </c>
    </row>
    <row r="5413" spans="1:1" x14ac:dyDescent="0.25">
      <c r="A5413" s="19" t="s">
        <v>7971</v>
      </c>
    </row>
    <row r="5414" spans="1:1" x14ac:dyDescent="0.25">
      <c r="A5414" s="19" t="s">
        <v>7972</v>
      </c>
    </row>
    <row r="5415" spans="1:1" x14ac:dyDescent="0.25">
      <c r="A5415" s="19" t="s">
        <v>7973</v>
      </c>
    </row>
    <row r="5416" spans="1:1" x14ac:dyDescent="0.25">
      <c r="A5416" s="19" t="s">
        <v>7974</v>
      </c>
    </row>
    <row r="5417" spans="1:1" x14ac:dyDescent="0.25">
      <c r="A5417" s="19" t="s">
        <v>7975</v>
      </c>
    </row>
    <row r="5418" spans="1:1" x14ac:dyDescent="0.25">
      <c r="A5418" s="19" t="s">
        <v>7976</v>
      </c>
    </row>
    <row r="5419" spans="1:1" x14ac:dyDescent="0.25">
      <c r="A5419" s="19" t="s">
        <v>7977</v>
      </c>
    </row>
    <row r="5420" spans="1:1" x14ac:dyDescent="0.25">
      <c r="A5420" s="19" t="s">
        <v>7978</v>
      </c>
    </row>
    <row r="5421" spans="1:1" x14ac:dyDescent="0.25">
      <c r="A5421" s="19" t="s">
        <v>7979</v>
      </c>
    </row>
    <row r="5422" spans="1:1" x14ac:dyDescent="0.25">
      <c r="A5422" s="19" t="s">
        <v>7980</v>
      </c>
    </row>
    <row r="5423" spans="1:1" x14ac:dyDescent="0.25">
      <c r="A5423" s="19" t="s">
        <v>7981</v>
      </c>
    </row>
    <row r="5424" spans="1:1" x14ac:dyDescent="0.25">
      <c r="A5424" s="19" t="s">
        <v>7982</v>
      </c>
    </row>
    <row r="5425" spans="1:1" x14ac:dyDescent="0.25">
      <c r="A5425" s="19" t="s">
        <v>7983</v>
      </c>
    </row>
    <row r="5426" spans="1:1" x14ac:dyDescent="0.25">
      <c r="A5426" s="19" t="s">
        <v>7984</v>
      </c>
    </row>
    <row r="5427" spans="1:1" x14ac:dyDescent="0.25">
      <c r="A5427" s="19" t="s">
        <v>7985</v>
      </c>
    </row>
    <row r="5428" spans="1:1" x14ac:dyDescent="0.25">
      <c r="A5428" s="19" t="s">
        <v>7986</v>
      </c>
    </row>
    <row r="5429" spans="1:1" x14ac:dyDescent="0.25">
      <c r="A5429" s="19" t="s">
        <v>7987</v>
      </c>
    </row>
    <row r="5430" spans="1:1" x14ac:dyDescent="0.25">
      <c r="A5430" s="19" t="s">
        <v>7988</v>
      </c>
    </row>
    <row r="5431" spans="1:1" x14ac:dyDescent="0.25">
      <c r="A5431" s="19" t="s">
        <v>7989</v>
      </c>
    </row>
    <row r="5432" spans="1:1" x14ac:dyDescent="0.25">
      <c r="A5432" s="19" t="s">
        <v>7990</v>
      </c>
    </row>
    <row r="5433" spans="1:1" x14ac:dyDescent="0.25">
      <c r="A5433" s="19" t="s">
        <v>7991</v>
      </c>
    </row>
    <row r="5434" spans="1:1" x14ac:dyDescent="0.25">
      <c r="A5434" s="19" t="s">
        <v>7992</v>
      </c>
    </row>
    <row r="5435" spans="1:1" x14ac:dyDescent="0.25">
      <c r="A5435" s="19" t="s">
        <v>7993</v>
      </c>
    </row>
    <row r="5436" spans="1:1" x14ac:dyDescent="0.25">
      <c r="A5436" s="19" t="s">
        <v>7994</v>
      </c>
    </row>
    <row r="5437" spans="1:1" x14ac:dyDescent="0.25">
      <c r="A5437" s="19" t="s">
        <v>7995</v>
      </c>
    </row>
    <row r="5438" spans="1:1" x14ac:dyDescent="0.25">
      <c r="A5438" s="19" t="s">
        <v>7996</v>
      </c>
    </row>
    <row r="5439" spans="1:1" x14ac:dyDescent="0.25">
      <c r="A5439" s="19" t="s">
        <v>7997</v>
      </c>
    </row>
    <row r="5440" spans="1:1" x14ac:dyDescent="0.25">
      <c r="A5440" s="19" t="s">
        <v>7998</v>
      </c>
    </row>
    <row r="5441" spans="1:1" x14ac:dyDescent="0.25">
      <c r="A5441" s="19" t="s">
        <v>7999</v>
      </c>
    </row>
    <row r="5442" spans="1:1" x14ac:dyDescent="0.25">
      <c r="A5442" s="19" t="s">
        <v>8000</v>
      </c>
    </row>
    <row r="5443" spans="1:1" x14ac:dyDescent="0.25">
      <c r="A5443" s="19" t="s">
        <v>8001</v>
      </c>
    </row>
    <row r="5444" spans="1:1" x14ac:dyDescent="0.25">
      <c r="A5444" s="19" t="s">
        <v>8002</v>
      </c>
    </row>
    <row r="5445" spans="1:1" x14ac:dyDescent="0.25">
      <c r="A5445" s="19" t="s">
        <v>8003</v>
      </c>
    </row>
    <row r="5446" spans="1:1" x14ac:dyDescent="0.25">
      <c r="A5446" s="19" t="s">
        <v>8004</v>
      </c>
    </row>
    <row r="5447" spans="1:1" x14ac:dyDescent="0.25">
      <c r="A5447" s="19" t="s">
        <v>8005</v>
      </c>
    </row>
    <row r="5448" spans="1:1" x14ac:dyDescent="0.25">
      <c r="A5448" s="19" t="s">
        <v>8006</v>
      </c>
    </row>
    <row r="5449" spans="1:1" x14ac:dyDescent="0.25">
      <c r="A5449" s="19" t="s">
        <v>8007</v>
      </c>
    </row>
    <row r="5450" spans="1:1" x14ac:dyDescent="0.25">
      <c r="A5450" s="19" t="s">
        <v>8008</v>
      </c>
    </row>
    <row r="5451" spans="1:1" x14ac:dyDescent="0.25">
      <c r="A5451" s="19" t="s">
        <v>8009</v>
      </c>
    </row>
    <row r="5452" spans="1:1" x14ac:dyDescent="0.25">
      <c r="A5452" s="19" t="s">
        <v>8010</v>
      </c>
    </row>
    <row r="5453" spans="1:1" x14ac:dyDescent="0.25">
      <c r="A5453" s="19" t="s">
        <v>8011</v>
      </c>
    </row>
    <row r="5454" spans="1:1" x14ac:dyDescent="0.25">
      <c r="A5454" s="19" t="s">
        <v>8012</v>
      </c>
    </row>
    <row r="5455" spans="1:1" x14ac:dyDescent="0.25">
      <c r="A5455" s="19" t="s">
        <v>8013</v>
      </c>
    </row>
    <row r="5456" spans="1:1" x14ac:dyDescent="0.25">
      <c r="A5456" s="19" t="s">
        <v>8014</v>
      </c>
    </row>
    <row r="5457" spans="1:1" x14ac:dyDescent="0.25">
      <c r="A5457" s="19" t="s">
        <v>8014</v>
      </c>
    </row>
    <row r="5458" spans="1:1" x14ac:dyDescent="0.25">
      <c r="A5458" s="19" t="s">
        <v>8015</v>
      </c>
    </row>
    <row r="5459" spans="1:1" x14ac:dyDescent="0.25">
      <c r="A5459" s="19" t="s">
        <v>8016</v>
      </c>
    </row>
    <row r="5460" spans="1:1" x14ac:dyDescent="0.25">
      <c r="A5460" s="19" t="s">
        <v>8017</v>
      </c>
    </row>
    <row r="5461" spans="1:1" x14ac:dyDescent="0.25">
      <c r="A5461" s="19" t="s">
        <v>8018</v>
      </c>
    </row>
    <row r="5462" spans="1:1" x14ac:dyDescent="0.25">
      <c r="A5462" s="19" t="s">
        <v>8019</v>
      </c>
    </row>
    <row r="5463" spans="1:1" x14ac:dyDescent="0.25">
      <c r="A5463" s="19" t="s">
        <v>8020</v>
      </c>
    </row>
    <row r="5464" spans="1:1" x14ac:dyDescent="0.25">
      <c r="A5464" s="19" t="s">
        <v>8021</v>
      </c>
    </row>
    <row r="5465" spans="1:1" x14ac:dyDescent="0.25">
      <c r="A5465" s="19" t="s">
        <v>8022</v>
      </c>
    </row>
    <row r="5466" spans="1:1" x14ac:dyDescent="0.25">
      <c r="A5466" s="19" t="s">
        <v>8023</v>
      </c>
    </row>
    <row r="5467" spans="1:1" x14ac:dyDescent="0.25">
      <c r="A5467" s="19" t="s">
        <v>8024</v>
      </c>
    </row>
    <row r="5468" spans="1:1" x14ac:dyDescent="0.25">
      <c r="A5468" s="19" t="s">
        <v>8025</v>
      </c>
    </row>
    <row r="5469" spans="1:1" x14ac:dyDescent="0.25">
      <c r="A5469" s="19" t="s">
        <v>8026</v>
      </c>
    </row>
    <row r="5470" spans="1:1" x14ac:dyDescent="0.25">
      <c r="A5470" s="19" t="s">
        <v>8027</v>
      </c>
    </row>
    <row r="5471" spans="1:1" x14ac:dyDescent="0.25">
      <c r="A5471" s="19" t="s">
        <v>8028</v>
      </c>
    </row>
    <row r="5472" spans="1:1" x14ac:dyDescent="0.25">
      <c r="A5472" s="19" t="s">
        <v>8029</v>
      </c>
    </row>
    <row r="5473" spans="1:1" x14ac:dyDescent="0.25">
      <c r="A5473" s="19" t="s">
        <v>8030</v>
      </c>
    </row>
    <row r="5474" spans="1:1" x14ac:dyDescent="0.25">
      <c r="A5474" s="19" t="s">
        <v>8031</v>
      </c>
    </row>
    <row r="5475" spans="1:1" x14ac:dyDescent="0.25">
      <c r="A5475" s="19" t="s">
        <v>8032</v>
      </c>
    </row>
    <row r="5476" spans="1:1" x14ac:dyDescent="0.25">
      <c r="A5476" s="19" t="s">
        <v>8033</v>
      </c>
    </row>
    <row r="5477" spans="1:1" x14ac:dyDescent="0.25">
      <c r="A5477" s="19" t="s">
        <v>8034</v>
      </c>
    </row>
    <row r="5478" spans="1:1" x14ac:dyDescent="0.25">
      <c r="A5478" s="19" t="s">
        <v>8035</v>
      </c>
    </row>
    <row r="5479" spans="1:1" x14ac:dyDescent="0.25">
      <c r="A5479" s="19" t="s">
        <v>8036</v>
      </c>
    </row>
    <row r="5480" spans="1:1" x14ac:dyDescent="0.25">
      <c r="A5480" s="19" t="s">
        <v>8037</v>
      </c>
    </row>
    <row r="5481" spans="1:1" x14ac:dyDescent="0.25">
      <c r="A5481" s="19" t="s">
        <v>8038</v>
      </c>
    </row>
    <row r="5482" spans="1:1" x14ac:dyDescent="0.25">
      <c r="A5482" s="19" t="s">
        <v>8039</v>
      </c>
    </row>
    <row r="5483" spans="1:1" x14ac:dyDescent="0.25">
      <c r="A5483" s="19" t="s">
        <v>8040</v>
      </c>
    </row>
    <row r="5484" spans="1:1" x14ac:dyDescent="0.25">
      <c r="A5484" s="19" t="s">
        <v>8041</v>
      </c>
    </row>
    <row r="5485" spans="1:1" x14ac:dyDescent="0.25">
      <c r="A5485" s="19" t="s">
        <v>8042</v>
      </c>
    </row>
    <row r="5486" spans="1:1" x14ac:dyDescent="0.25">
      <c r="A5486" s="19" t="s">
        <v>8043</v>
      </c>
    </row>
    <row r="5487" spans="1:1" x14ac:dyDescent="0.25">
      <c r="A5487" s="19" t="s">
        <v>8044</v>
      </c>
    </row>
    <row r="5488" spans="1:1" x14ac:dyDescent="0.25">
      <c r="A5488" s="19" t="s">
        <v>8045</v>
      </c>
    </row>
    <row r="5489" spans="1:1" x14ac:dyDescent="0.25">
      <c r="A5489" s="19" t="s">
        <v>8045</v>
      </c>
    </row>
    <row r="5490" spans="1:1" x14ac:dyDescent="0.25">
      <c r="A5490" s="19" t="s">
        <v>8045</v>
      </c>
    </row>
    <row r="5491" spans="1:1" x14ac:dyDescent="0.25">
      <c r="A5491" s="19" t="s">
        <v>8046</v>
      </c>
    </row>
    <row r="5492" spans="1:1" x14ac:dyDescent="0.25">
      <c r="A5492" s="19" t="s">
        <v>8047</v>
      </c>
    </row>
    <row r="5493" spans="1:1" x14ac:dyDescent="0.25">
      <c r="A5493" s="19" t="s">
        <v>8048</v>
      </c>
    </row>
    <row r="5494" spans="1:1" x14ac:dyDescent="0.25">
      <c r="A5494" s="19" t="s">
        <v>8049</v>
      </c>
    </row>
    <row r="5495" spans="1:1" x14ac:dyDescent="0.25">
      <c r="A5495" s="19" t="s">
        <v>8050</v>
      </c>
    </row>
    <row r="5496" spans="1:1" x14ac:dyDescent="0.25">
      <c r="A5496" s="19" t="s">
        <v>8051</v>
      </c>
    </row>
    <row r="5497" spans="1:1" x14ac:dyDescent="0.25">
      <c r="A5497" s="19" t="s">
        <v>8052</v>
      </c>
    </row>
    <row r="5498" spans="1:1" x14ac:dyDescent="0.25">
      <c r="A5498" s="19" t="s">
        <v>8053</v>
      </c>
    </row>
    <row r="5499" spans="1:1" x14ac:dyDescent="0.25">
      <c r="A5499" s="19" t="s">
        <v>8054</v>
      </c>
    </row>
    <row r="5500" spans="1:1" x14ac:dyDescent="0.25">
      <c r="A5500" s="19" t="s">
        <v>8055</v>
      </c>
    </row>
    <row r="5501" spans="1:1" x14ac:dyDescent="0.25">
      <c r="A5501" s="19" t="s">
        <v>8056</v>
      </c>
    </row>
    <row r="5502" spans="1:1" x14ac:dyDescent="0.25">
      <c r="A5502" s="19" t="s">
        <v>8057</v>
      </c>
    </row>
    <row r="5503" spans="1:1" x14ac:dyDescent="0.25">
      <c r="A5503" s="19" t="s">
        <v>8058</v>
      </c>
    </row>
    <row r="5504" spans="1:1" x14ac:dyDescent="0.25">
      <c r="A5504" s="19" t="s">
        <v>8059</v>
      </c>
    </row>
    <row r="5505" spans="1:1" x14ac:dyDescent="0.25">
      <c r="A5505" s="19" t="s">
        <v>8060</v>
      </c>
    </row>
    <row r="5506" spans="1:1" x14ac:dyDescent="0.25">
      <c r="A5506" s="19" t="s">
        <v>8061</v>
      </c>
    </row>
    <row r="5507" spans="1:1" x14ac:dyDescent="0.25">
      <c r="A5507" s="19" t="s">
        <v>8062</v>
      </c>
    </row>
    <row r="5508" spans="1:1" x14ac:dyDescent="0.25">
      <c r="A5508" s="19" t="s">
        <v>8063</v>
      </c>
    </row>
    <row r="5509" spans="1:1" x14ac:dyDescent="0.25">
      <c r="A5509" s="19" t="s">
        <v>8064</v>
      </c>
    </row>
    <row r="5510" spans="1:1" x14ac:dyDescent="0.25">
      <c r="A5510" s="19" t="s">
        <v>8065</v>
      </c>
    </row>
    <row r="5511" spans="1:1" x14ac:dyDescent="0.25">
      <c r="A5511" s="19" t="s">
        <v>8066</v>
      </c>
    </row>
    <row r="5512" spans="1:1" x14ac:dyDescent="0.25">
      <c r="A5512" s="19" t="s">
        <v>8067</v>
      </c>
    </row>
    <row r="5513" spans="1:1" x14ac:dyDescent="0.25">
      <c r="A5513" s="19" t="s">
        <v>8068</v>
      </c>
    </row>
    <row r="5514" spans="1:1" x14ac:dyDescent="0.25">
      <c r="A5514" s="19" t="s">
        <v>8069</v>
      </c>
    </row>
    <row r="5515" spans="1:1" x14ac:dyDescent="0.25">
      <c r="A5515" s="19" t="s">
        <v>8070</v>
      </c>
    </row>
    <row r="5516" spans="1:1" x14ac:dyDescent="0.25">
      <c r="A5516" s="19" t="s">
        <v>8071</v>
      </c>
    </row>
    <row r="5517" spans="1:1" x14ac:dyDescent="0.25">
      <c r="A5517" s="19" t="s">
        <v>8072</v>
      </c>
    </row>
    <row r="5518" spans="1:1" x14ac:dyDescent="0.25">
      <c r="A5518" s="19" t="s">
        <v>8073</v>
      </c>
    </row>
    <row r="5519" spans="1:1" x14ac:dyDescent="0.25">
      <c r="A5519" s="19" t="s">
        <v>8074</v>
      </c>
    </row>
    <row r="5520" spans="1:1" x14ac:dyDescent="0.25">
      <c r="A5520" s="19" t="s">
        <v>8075</v>
      </c>
    </row>
    <row r="5521" spans="1:1" x14ac:dyDescent="0.25">
      <c r="A5521" s="19" t="s">
        <v>8076</v>
      </c>
    </row>
    <row r="5522" spans="1:1" x14ac:dyDescent="0.25">
      <c r="A5522" s="19" t="s">
        <v>8077</v>
      </c>
    </row>
    <row r="5523" spans="1:1" x14ac:dyDescent="0.25">
      <c r="A5523" s="19" t="s">
        <v>8078</v>
      </c>
    </row>
    <row r="5524" spans="1:1" x14ac:dyDescent="0.25">
      <c r="A5524" s="19" t="s">
        <v>8079</v>
      </c>
    </row>
    <row r="5525" spans="1:1" x14ac:dyDescent="0.25">
      <c r="A5525" s="19" t="s">
        <v>8080</v>
      </c>
    </row>
    <row r="5526" spans="1:1" x14ac:dyDescent="0.25">
      <c r="A5526" s="19" t="s">
        <v>8081</v>
      </c>
    </row>
    <row r="5527" spans="1:1" x14ac:dyDescent="0.25">
      <c r="A5527" s="19" t="s">
        <v>8082</v>
      </c>
    </row>
    <row r="5528" spans="1:1" x14ac:dyDescent="0.25">
      <c r="A5528" s="19" t="s">
        <v>8083</v>
      </c>
    </row>
    <row r="5529" spans="1:1" x14ac:dyDescent="0.25">
      <c r="A5529" s="19" t="s">
        <v>8084</v>
      </c>
    </row>
    <row r="5530" spans="1:1" x14ac:dyDescent="0.25">
      <c r="A5530" s="19" t="s">
        <v>8085</v>
      </c>
    </row>
    <row r="5531" spans="1:1" x14ac:dyDescent="0.25">
      <c r="A5531" s="19" t="s">
        <v>8086</v>
      </c>
    </row>
    <row r="5532" spans="1:1" x14ac:dyDescent="0.25">
      <c r="A5532" s="19" t="s">
        <v>8086</v>
      </c>
    </row>
    <row r="5533" spans="1:1" x14ac:dyDescent="0.25">
      <c r="A5533" s="19" t="s">
        <v>8086</v>
      </c>
    </row>
    <row r="5534" spans="1:1" x14ac:dyDescent="0.25">
      <c r="A5534" s="19" t="s">
        <v>8087</v>
      </c>
    </row>
    <row r="5535" spans="1:1" x14ac:dyDescent="0.25">
      <c r="A5535" s="19" t="s">
        <v>8088</v>
      </c>
    </row>
    <row r="5536" spans="1:1" x14ac:dyDescent="0.25">
      <c r="A5536" s="19" t="s">
        <v>8089</v>
      </c>
    </row>
    <row r="5537" spans="1:1" x14ac:dyDescent="0.25">
      <c r="A5537" s="19" t="s">
        <v>8090</v>
      </c>
    </row>
    <row r="5538" spans="1:1" x14ac:dyDescent="0.25">
      <c r="A5538" s="19" t="s">
        <v>8091</v>
      </c>
    </row>
    <row r="5539" spans="1:1" x14ac:dyDescent="0.25">
      <c r="A5539" s="19" t="s">
        <v>8092</v>
      </c>
    </row>
    <row r="5540" spans="1:1" x14ac:dyDescent="0.25">
      <c r="A5540" s="19" t="s">
        <v>8093</v>
      </c>
    </row>
    <row r="5541" spans="1:1" x14ac:dyDescent="0.25">
      <c r="A5541" s="19" t="s">
        <v>8094</v>
      </c>
    </row>
    <row r="5542" spans="1:1" x14ac:dyDescent="0.25">
      <c r="A5542" s="19" t="s">
        <v>8095</v>
      </c>
    </row>
    <row r="5543" spans="1:1" x14ac:dyDescent="0.25">
      <c r="A5543" s="19" t="s">
        <v>8096</v>
      </c>
    </row>
    <row r="5544" spans="1:1" x14ac:dyDescent="0.25">
      <c r="A5544" s="19" t="s">
        <v>8097</v>
      </c>
    </row>
    <row r="5545" spans="1:1" x14ac:dyDescent="0.25">
      <c r="A5545" s="19" t="s">
        <v>8098</v>
      </c>
    </row>
    <row r="5546" spans="1:1" x14ac:dyDescent="0.25">
      <c r="A5546" s="19" t="s">
        <v>8099</v>
      </c>
    </row>
    <row r="5547" spans="1:1" x14ac:dyDescent="0.25">
      <c r="A5547" s="19" t="s">
        <v>8100</v>
      </c>
    </row>
    <row r="5548" spans="1:1" x14ac:dyDescent="0.25">
      <c r="A5548" s="19" t="s">
        <v>8101</v>
      </c>
    </row>
    <row r="5549" spans="1:1" x14ac:dyDescent="0.25">
      <c r="A5549" s="19" t="s">
        <v>8102</v>
      </c>
    </row>
    <row r="5550" spans="1:1" x14ac:dyDescent="0.25">
      <c r="A5550" s="19" t="s">
        <v>8103</v>
      </c>
    </row>
    <row r="5551" spans="1:1" x14ac:dyDescent="0.25">
      <c r="A5551" s="19" t="s">
        <v>8104</v>
      </c>
    </row>
    <row r="5552" spans="1:1" x14ac:dyDescent="0.25">
      <c r="A5552" s="19" t="s">
        <v>8105</v>
      </c>
    </row>
    <row r="5553" spans="1:1" x14ac:dyDescent="0.25">
      <c r="A5553" s="19" t="s">
        <v>8106</v>
      </c>
    </row>
    <row r="5554" spans="1:1" x14ac:dyDescent="0.25">
      <c r="A5554" s="19" t="s">
        <v>8107</v>
      </c>
    </row>
    <row r="5555" spans="1:1" x14ac:dyDescent="0.25">
      <c r="A5555" s="19" t="s">
        <v>8108</v>
      </c>
    </row>
    <row r="5556" spans="1:1" x14ac:dyDescent="0.25">
      <c r="A5556" s="19" t="s">
        <v>8109</v>
      </c>
    </row>
    <row r="5557" spans="1:1" x14ac:dyDescent="0.25">
      <c r="A5557" s="19" t="s">
        <v>8110</v>
      </c>
    </row>
    <row r="5558" spans="1:1" x14ac:dyDescent="0.25">
      <c r="A5558" s="19" t="s">
        <v>8111</v>
      </c>
    </row>
    <row r="5559" spans="1:1" x14ac:dyDescent="0.25">
      <c r="A5559" s="19" t="s">
        <v>8112</v>
      </c>
    </row>
    <row r="5560" spans="1:1" x14ac:dyDescent="0.25">
      <c r="A5560" s="19" t="s">
        <v>8113</v>
      </c>
    </row>
    <row r="5561" spans="1:1" x14ac:dyDescent="0.25">
      <c r="A5561" s="19" t="s">
        <v>8114</v>
      </c>
    </row>
    <row r="5562" spans="1:1" x14ac:dyDescent="0.25">
      <c r="A5562" s="19" t="s">
        <v>8115</v>
      </c>
    </row>
    <row r="5563" spans="1:1" x14ac:dyDescent="0.25">
      <c r="A5563" s="19" t="s">
        <v>8116</v>
      </c>
    </row>
    <row r="5564" spans="1:1" x14ac:dyDescent="0.25">
      <c r="A5564" s="19" t="s">
        <v>8117</v>
      </c>
    </row>
    <row r="5565" spans="1:1" x14ac:dyDescent="0.25">
      <c r="A5565" s="19" t="s">
        <v>8118</v>
      </c>
    </row>
    <row r="5566" spans="1:1" x14ac:dyDescent="0.25">
      <c r="A5566" s="19" t="s">
        <v>8119</v>
      </c>
    </row>
    <row r="5567" spans="1:1" x14ac:dyDescent="0.25">
      <c r="A5567" s="19" t="s">
        <v>8120</v>
      </c>
    </row>
    <row r="5568" spans="1:1" x14ac:dyDescent="0.25">
      <c r="A5568" s="19" t="s">
        <v>8121</v>
      </c>
    </row>
    <row r="5569" spans="1:1" x14ac:dyDescent="0.25">
      <c r="A5569" s="19" t="s">
        <v>8122</v>
      </c>
    </row>
    <row r="5570" spans="1:1" x14ac:dyDescent="0.25">
      <c r="A5570" s="19" t="s">
        <v>8123</v>
      </c>
    </row>
    <row r="5571" spans="1:1" x14ac:dyDescent="0.25">
      <c r="A5571" s="19" t="s">
        <v>8124</v>
      </c>
    </row>
    <row r="5572" spans="1:1" x14ac:dyDescent="0.25">
      <c r="A5572" s="19" t="s">
        <v>8125</v>
      </c>
    </row>
    <row r="5573" spans="1:1" x14ac:dyDescent="0.25">
      <c r="A5573" s="19" t="s">
        <v>8126</v>
      </c>
    </row>
    <row r="5574" spans="1:1" x14ac:dyDescent="0.25">
      <c r="A5574" s="19" t="s">
        <v>8127</v>
      </c>
    </row>
    <row r="5575" spans="1:1" x14ac:dyDescent="0.25">
      <c r="A5575" s="19" t="s">
        <v>8128</v>
      </c>
    </row>
    <row r="5576" spans="1:1" x14ac:dyDescent="0.25">
      <c r="A5576" s="19" t="s">
        <v>8129</v>
      </c>
    </row>
    <row r="5577" spans="1:1" x14ac:dyDescent="0.25">
      <c r="A5577" s="19" t="s">
        <v>8130</v>
      </c>
    </row>
    <row r="5578" spans="1:1" x14ac:dyDescent="0.25">
      <c r="A5578" s="19" t="s">
        <v>8131</v>
      </c>
    </row>
    <row r="5579" spans="1:1" x14ac:dyDescent="0.25">
      <c r="A5579" s="19" t="s">
        <v>8132</v>
      </c>
    </row>
    <row r="5580" spans="1:1" x14ac:dyDescent="0.25">
      <c r="A5580" s="19" t="s">
        <v>8133</v>
      </c>
    </row>
    <row r="5581" spans="1:1" x14ac:dyDescent="0.25">
      <c r="A5581" s="19" t="s">
        <v>8134</v>
      </c>
    </row>
    <row r="5582" spans="1:1" x14ac:dyDescent="0.25">
      <c r="A5582" s="19" t="s">
        <v>8135</v>
      </c>
    </row>
    <row r="5583" spans="1:1" x14ac:dyDescent="0.25">
      <c r="A5583" s="19" t="s">
        <v>8136</v>
      </c>
    </row>
    <row r="5584" spans="1:1" x14ac:dyDescent="0.25">
      <c r="A5584" s="19" t="s">
        <v>8137</v>
      </c>
    </row>
    <row r="5585" spans="1:1" x14ac:dyDescent="0.25">
      <c r="A5585" s="19" t="s">
        <v>8138</v>
      </c>
    </row>
    <row r="5586" spans="1:1" x14ac:dyDescent="0.25">
      <c r="A5586" s="19" t="s">
        <v>8139</v>
      </c>
    </row>
    <row r="5587" spans="1:1" x14ac:dyDescent="0.25">
      <c r="A5587" s="19" t="s">
        <v>8140</v>
      </c>
    </row>
    <row r="5588" spans="1:1" x14ac:dyDescent="0.25">
      <c r="A5588" s="19" t="s">
        <v>8141</v>
      </c>
    </row>
    <row r="5589" spans="1:1" x14ac:dyDescent="0.25">
      <c r="A5589" s="19" t="s">
        <v>8142</v>
      </c>
    </row>
    <row r="5590" spans="1:1" x14ac:dyDescent="0.25">
      <c r="A5590" s="19" t="s">
        <v>8143</v>
      </c>
    </row>
    <row r="5591" spans="1:1" x14ac:dyDescent="0.25">
      <c r="A5591" s="19" t="s">
        <v>8144</v>
      </c>
    </row>
    <row r="5592" spans="1:1" x14ac:dyDescent="0.25">
      <c r="A5592" s="19" t="s">
        <v>8145</v>
      </c>
    </row>
    <row r="5593" spans="1:1" x14ac:dyDescent="0.25">
      <c r="A5593" s="19" t="s">
        <v>8146</v>
      </c>
    </row>
    <row r="5594" spans="1:1" x14ac:dyDescent="0.25">
      <c r="A5594" s="19" t="s">
        <v>8147</v>
      </c>
    </row>
    <row r="5595" spans="1:1" x14ac:dyDescent="0.25">
      <c r="A5595" s="19" t="s">
        <v>8148</v>
      </c>
    </row>
    <row r="5596" spans="1:1" x14ac:dyDescent="0.25">
      <c r="A5596" s="19" t="s">
        <v>8149</v>
      </c>
    </row>
    <row r="5597" spans="1:1" x14ac:dyDescent="0.25">
      <c r="A5597" s="19" t="s">
        <v>8150</v>
      </c>
    </row>
    <row r="5598" spans="1:1" x14ac:dyDescent="0.25">
      <c r="A5598" s="19" t="s">
        <v>8151</v>
      </c>
    </row>
    <row r="5599" spans="1:1" x14ac:dyDescent="0.25">
      <c r="A5599" s="19" t="s">
        <v>8152</v>
      </c>
    </row>
    <row r="5600" spans="1:1" x14ac:dyDescent="0.25">
      <c r="A5600" s="19" t="s">
        <v>8153</v>
      </c>
    </row>
    <row r="5601" spans="1:1" x14ac:dyDescent="0.25">
      <c r="A5601" s="19" t="s">
        <v>8154</v>
      </c>
    </row>
    <row r="5602" spans="1:1" x14ac:dyDescent="0.25">
      <c r="A5602" s="19" t="s">
        <v>8155</v>
      </c>
    </row>
    <row r="5603" spans="1:1" x14ac:dyDescent="0.25">
      <c r="A5603" s="19" t="s">
        <v>8156</v>
      </c>
    </row>
    <row r="5604" spans="1:1" x14ac:dyDescent="0.25">
      <c r="A5604" s="19" t="s">
        <v>8157</v>
      </c>
    </row>
    <row r="5605" spans="1:1" x14ac:dyDescent="0.25">
      <c r="A5605" s="19" t="s">
        <v>8158</v>
      </c>
    </row>
    <row r="5606" spans="1:1" x14ac:dyDescent="0.25">
      <c r="A5606" s="19" t="s">
        <v>8159</v>
      </c>
    </row>
    <row r="5607" spans="1:1" x14ac:dyDescent="0.25">
      <c r="A5607" s="19" t="s">
        <v>8160</v>
      </c>
    </row>
    <row r="5608" spans="1:1" x14ac:dyDescent="0.25">
      <c r="A5608" s="19" t="s">
        <v>8161</v>
      </c>
    </row>
    <row r="5609" spans="1:1" x14ac:dyDescent="0.25">
      <c r="A5609" s="19" t="s">
        <v>8162</v>
      </c>
    </row>
    <row r="5610" spans="1:1" x14ac:dyDescent="0.25">
      <c r="A5610" s="19" t="s">
        <v>8163</v>
      </c>
    </row>
    <row r="5611" spans="1:1" x14ac:dyDescent="0.25">
      <c r="A5611" s="19" t="s">
        <v>8164</v>
      </c>
    </row>
    <row r="5612" spans="1:1" x14ac:dyDescent="0.25">
      <c r="A5612" s="19" t="s">
        <v>8165</v>
      </c>
    </row>
    <row r="5613" spans="1:1" x14ac:dyDescent="0.25">
      <c r="A5613" s="19" t="s">
        <v>8166</v>
      </c>
    </row>
    <row r="5614" spans="1:1" x14ac:dyDescent="0.25">
      <c r="A5614" s="19" t="s">
        <v>8167</v>
      </c>
    </row>
    <row r="5615" spans="1:1" x14ac:dyDescent="0.25">
      <c r="A5615" s="19" t="s">
        <v>8168</v>
      </c>
    </row>
    <row r="5616" spans="1:1" x14ac:dyDescent="0.25">
      <c r="A5616" s="19" t="s">
        <v>8169</v>
      </c>
    </row>
    <row r="5617" spans="1:1" x14ac:dyDescent="0.25">
      <c r="A5617" s="19" t="s">
        <v>8170</v>
      </c>
    </row>
    <row r="5618" spans="1:1" x14ac:dyDescent="0.25">
      <c r="A5618" s="19" t="s">
        <v>8171</v>
      </c>
    </row>
    <row r="5619" spans="1:1" x14ac:dyDescent="0.25">
      <c r="A5619" s="19" t="s">
        <v>8172</v>
      </c>
    </row>
    <row r="5620" spans="1:1" x14ac:dyDescent="0.25">
      <c r="A5620" s="19" t="s">
        <v>8173</v>
      </c>
    </row>
    <row r="5621" spans="1:1" x14ac:dyDescent="0.25">
      <c r="A5621" s="19" t="s">
        <v>8174</v>
      </c>
    </row>
    <row r="5622" spans="1:1" x14ac:dyDescent="0.25">
      <c r="A5622" s="19" t="s">
        <v>8175</v>
      </c>
    </row>
    <row r="5623" spans="1:1" x14ac:dyDescent="0.25">
      <c r="A5623" s="19" t="s">
        <v>8176</v>
      </c>
    </row>
    <row r="5624" spans="1:1" x14ac:dyDescent="0.25">
      <c r="A5624" s="19" t="s">
        <v>8177</v>
      </c>
    </row>
    <row r="5625" spans="1:1" x14ac:dyDescent="0.25">
      <c r="A5625" s="19" t="s">
        <v>8178</v>
      </c>
    </row>
    <row r="5626" spans="1:1" x14ac:dyDescent="0.25">
      <c r="A5626" s="19" t="s">
        <v>8179</v>
      </c>
    </row>
    <row r="5627" spans="1:1" x14ac:dyDescent="0.25">
      <c r="A5627" s="19" t="s">
        <v>8180</v>
      </c>
    </row>
    <row r="5628" spans="1:1" x14ac:dyDescent="0.25">
      <c r="A5628" s="19" t="s">
        <v>8181</v>
      </c>
    </row>
    <row r="5629" spans="1:1" x14ac:dyDescent="0.25">
      <c r="A5629" s="19" t="s">
        <v>8182</v>
      </c>
    </row>
    <row r="5630" spans="1:1" x14ac:dyDescent="0.25">
      <c r="A5630" s="19" t="s">
        <v>8183</v>
      </c>
    </row>
    <row r="5631" spans="1:1" x14ac:dyDescent="0.25">
      <c r="A5631" s="19" t="s">
        <v>8184</v>
      </c>
    </row>
    <row r="5632" spans="1:1" x14ac:dyDescent="0.25">
      <c r="A5632" s="19" t="s">
        <v>8185</v>
      </c>
    </row>
    <row r="5633" spans="1:1" x14ac:dyDescent="0.25">
      <c r="A5633" s="19" t="s">
        <v>8186</v>
      </c>
    </row>
    <row r="5634" spans="1:1" x14ac:dyDescent="0.25">
      <c r="A5634" s="19" t="s">
        <v>8187</v>
      </c>
    </row>
    <row r="5635" spans="1:1" x14ac:dyDescent="0.25">
      <c r="A5635" s="19" t="s">
        <v>8188</v>
      </c>
    </row>
    <row r="5636" spans="1:1" x14ac:dyDescent="0.25">
      <c r="A5636" s="19" t="s">
        <v>8189</v>
      </c>
    </row>
    <row r="5637" spans="1:1" x14ac:dyDescent="0.25">
      <c r="A5637" s="19" t="s">
        <v>8190</v>
      </c>
    </row>
    <row r="5638" spans="1:1" x14ac:dyDescent="0.25">
      <c r="A5638" s="19" t="s">
        <v>8191</v>
      </c>
    </row>
    <row r="5639" spans="1:1" x14ac:dyDescent="0.25">
      <c r="A5639" s="19" t="s">
        <v>8192</v>
      </c>
    </row>
    <row r="5640" spans="1:1" x14ac:dyDescent="0.25">
      <c r="A5640" s="19" t="s">
        <v>8193</v>
      </c>
    </row>
    <row r="5641" spans="1:1" x14ac:dyDescent="0.25">
      <c r="A5641" s="19" t="s">
        <v>8194</v>
      </c>
    </row>
    <row r="5642" spans="1:1" x14ac:dyDescent="0.25">
      <c r="A5642" s="19" t="s">
        <v>8195</v>
      </c>
    </row>
    <row r="5643" spans="1:1" x14ac:dyDescent="0.25">
      <c r="A5643" s="19" t="s">
        <v>8196</v>
      </c>
    </row>
    <row r="5644" spans="1:1" x14ac:dyDescent="0.25">
      <c r="A5644" s="19" t="s">
        <v>8197</v>
      </c>
    </row>
    <row r="5645" spans="1:1" x14ac:dyDescent="0.25">
      <c r="A5645" s="19" t="s">
        <v>8198</v>
      </c>
    </row>
    <row r="5646" spans="1:1" x14ac:dyDescent="0.25">
      <c r="A5646" s="19" t="s">
        <v>8199</v>
      </c>
    </row>
    <row r="5647" spans="1:1" x14ac:dyDescent="0.25">
      <c r="A5647" s="19" t="s">
        <v>8200</v>
      </c>
    </row>
    <row r="5648" spans="1:1" x14ac:dyDescent="0.25">
      <c r="A5648" s="19" t="s">
        <v>8201</v>
      </c>
    </row>
    <row r="5649" spans="1:1" x14ac:dyDescent="0.25">
      <c r="A5649" s="19" t="s">
        <v>8202</v>
      </c>
    </row>
    <row r="5650" spans="1:1" x14ac:dyDescent="0.25">
      <c r="A5650" s="19" t="s">
        <v>8203</v>
      </c>
    </row>
    <row r="5651" spans="1:1" x14ac:dyDescent="0.25">
      <c r="A5651" s="19" t="s">
        <v>8204</v>
      </c>
    </row>
    <row r="5652" spans="1:1" x14ac:dyDescent="0.25">
      <c r="A5652" s="19" t="s">
        <v>8205</v>
      </c>
    </row>
    <row r="5653" spans="1:1" x14ac:dyDescent="0.25">
      <c r="A5653" s="19" t="s">
        <v>8206</v>
      </c>
    </row>
    <row r="5654" spans="1:1" x14ac:dyDescent="0.25">
      <c r="A5654" s="19" t="s">
        <v>8207</v>
      </c>
    </row>
    <row r="5655" spans="1:1" x14ac:dyDescent="0.25">
      <c r="A5655" s="19" t="s">
        <v>8208</v>
      </c>
    </row>
    <row r="5656" spans="1:1" x14ac:dyDescent="0.25">
      <c r="A5656" s="19" t="s">
        <v>8209</v>
      </c>
    </row>
    <row r="5657" spans="1:1" x14ac:dyDescent="0.25">
      <c r="A5657" s="19" t="s">
        <v>8210</v>
      </c>
    </row>
    <row r="5658" spans="1:1" x14ac:dyDescent="0.25">
      <c r="A5658" s="19" t="s">
        <v>8211</v>
      </c>
    </row>
    <row r="5659" spans="1:1" x14ac:dyDescent="0.25">
      <c r="A5659" s="19" t="s">
        <v>8212</v>
      </c>
    </row>
    <row r="5660" spans="1:1" x14ac:dyDescent="0.25">
      <c r="A5660" s="19" t="s">
        <v>8213</v>
      </c>
    </row>
    <row r="5661" spans="1:1" x14ac:dyDescent="0.25">
      <c r="A5661" s="19" t="s">
        <v>8214</v>
      </c>
    </row>
    <row r="5662" spans="1:1" x14ac:dyDescent="0.25">
      <c r="A5662" s="19" t="s">
        <v>8215</v>
      </c>
    </row>
    <row r="5663" spans="1:1" x14ac:dyDescent="0.25">
      <c r="A5663" s="19" t="s">
        <v>8216</v>
      </c>
    </row>
    <row r="5664" spans="1:1" x14ac:dyDescent="0.25">
      <c r="A5664" s="19" t="s">
        <v>8217</v>
      </c>
    </row>
    <row r="5665" spans="1:1" x14ac:dyDescent="0.25">
      <c r="A5665" s="19" t="s">
        <v>8218</v>
      </c>
    </row>
    <row r="5666" spans="1:1" x14ac:dyDescent="0.25">
      <c r="A5666" s="19" t="s">
        <v>8219</v>
      </c>
    </row>
    <row r="5667" spans="1:1" x14ac:dyDescent="0.25">
      <c r="A5667" s="19" t="s">
        <v>8220</v>
      </c>
    </row>
    <row r="5668" spans="1:1" x14ac:dyDescent="0.25">
      <c r="A5668" s="19" t="s">
        <v>8221</v>
      </c>
    </row>
    <row r="5669" spans="1:1" x14ac:dyDescent="0.25">
      <c r="A5669" s="19" t="s">
        <v>8222</v>
      </c>
    </row>
    <row r="5670" spans="1:1" x14ac:dyDescent="0.25">
      <c r="A5670" s="19" t="s">
        <v>8223</v>
      </c>
    </row>
    <row r="5671" spans="1:1" x14ac:dyDescent="0.25">
      <c r="A5671" s="19" t="s">
        <v>8224</v>
      </c>
    </row>
    <row r="5672" spans="1:1" x14ac:dyDescent="0.25">
      <c r="A5672" s="19" t="s">
        <v>8225</v>
      </c>
    </row>
    <row r="5673" spans="1:1" x14ac:dyDescent="0.25">
      <c r="A5673" s="19" t="s">
        <v>8226</v>
      </c>
    </row>
    <row r="5674" spans="1:1" x14ac:dyDescent="0.25">
      <c r="A5674" s="19" t="s">
        <v>8227</v>
      </c>
    </row>
    <row r="5675" spans="1:1" x14ac:dyDescent="0.25">
      <c r="A5675" s="19" t="s">
        <v>8228</v>
      </c>
    </row>
    <row r="5676" spans="1:1" x14ac:dyDescent="0.25">
      <c r="A5676" s="19" t="s">
        <v>8229</v>
      </c>
    </row>
    <row r="5677" spans="1:1" x14ac:dyDescent="0.25">
      <c r="A5677" s="19" t="s">
        <v>8230</v>
      </c>
    </row>
    <row r="5678" spans="1:1" x14ac:dyDescent="0.25">
      <c r="A5678" s="19" t="s">
        <v>8231</v>
      </c>
    </row>
    <row r="5679" spans="1:1" x14ac:dyDescent="0.25">
      <c r="A5679" s="19" t="s">
        <v>8232</v>
      </c>
    </row>
    <row r="5680" spans="1:1" x14ac:dyDescent="0.25">
      <c r="A5680" s="19" t="s">
        <v>8233</v>
      </c>
    </row>
    <row r="5681" spans="1:1" x14ac:dyDescent="0.25">
      <c r="A5681" s="19" t="s">
        <v>8234</v>
      </c>
    </row>
    <row r="5682" spans="1:1" x14ac:dyDescent="0.25">
      <c r="A5682" s="19" t="s">
        <v>8235</v>
      </c>
    </row>
    <row r="5683" spans="1:1" x14ac:dyDescent="0.25">
      <c r="A5683" s="19" t="s">
        <v>8236</v>
      </c>
    </row>
    <row r="5684" spans="1:1" x14ac:dyDescent="0.25">
      <c r="A5684" s="19" t="s">
        <v>8237</v>
      </c>
    </row>
    <row r="5685" spans="1:1" x14ac:dyDescent="0.25">
      <c r="A5685" s="19" t="s">
        <v>8238</v>
      </c>
    </row>
    <row r="5686" spans="1:1" x14ac:dyDescent="0.25">
      <c r="A5686" s="19" t="s">
        <v>8239</v>
      </c>
    </row>
    <row r="5687" spans="1:1" x14ac:dyDescent="0.25">
      <c r="A5687" s="19" t="s">
        <v>8240</v>
      </c>
    </row>
    <row r="5688" spans="1:1" x14ac:dyDescent="0.25">
      <c r="A5688" s="19" t="s">
        <v>8241</v>
      </c>
    </row>
    <row r="5689" spans="1:1" x14ac:dyDescent="0.25">
      <c r="A5689" s="19" t="s">
        <v>8242</v>
      </c>
    </row>
    <row r="5690" spans="1:1" x14ac:dyDescent="0.25">
      <c r="A5690" s="19" t="s">
        <v>8243</v>
      </c>
    </row>
    <row r="5691" spans="1:1" x14ac:dyDescent="0.25">
      <c r="A5691" s="19" t="s">
        <v>8244</v>
      </c>
    </row>
    <row r="5692" spans="1:1" x14ac:dyDescent="0.25">
      <c r="A5692" s="19" t="s">
        <v>8245</v>
      </c>
    </row>
    <row r="5693" spans="1:1" x14ac:dyDescent="0.25">
      <c r="A5693" s="19" t="s">
        <v>8246</v>
      </c>
    </row>
    <row r="5694" spans="1:1" x14ac:dyDescent="0.25">
      <c r="A5694" s="19" t="s">
        <v>8247</v>
      </c>
    </row>
    <row r="5695" spans="1:1" x14ac:dyDescent="0.25">
      <c r="A5695" s="19" t="s">
        <v>8248</v>
      </c>
    </row>
    <row r="5696" spans="1:1" x14ac:dyDescent="0.25">
      <c r="A5696" s="19" t="s">
        <v>8249</v>
      </c>
    </row>
    <row r="5697" spans="1:1" x14ac:dyDescent="0.25">
      <c r="A5697" s="19" t="s">
        <v>8250</v>
      </c>
    </row>
    <row r="5698" spans="1:1" x14ac:dyDescent="0.25">
      <c r="A5698" s="19" t="s">
        <v>8251</v>
      </c>
    </row>
    <row r="5699" spans="1:1" x14ac:dyDescent="0.25">
      <c r="A5699" s="19" t="s">
        <v>8252</v>
      </c>
    </row>
    <row r="5700" spans="1:1" x14ac:dyDescent="0.25">
      <c r="A5700" s="19" t="s">
        <v>8253</v>
      </c>
    </row>
    <row r="5701" spans="1:1" x14ac:dyDescent="0.25">
      <c r="A5701" s="19" t="s">
        <v>8254</v>
      </c>
    </row>
    <row r="5702" spans="1:1" x14ac:dyDescent="0.25">
      <c r="A5702" s="19" t="s">
        <v>8255</v>
      </c>
    </row>
    <row r="5703" spans="1:1" x14ac:dyDescent="0.25">
      <c r="A5703" s="19" t="s">
        <v>8256</v>
      </c>
    </row>
    <row r="5704" spans="1:1" x14ac:dyDescent="0.25">
      <c r="A5704" s="19" t="s">
        <v>8257</v>
      </c>
    </row>
    <row r="5705" spans="1:1" x14ac:dyDescent="0.25">
      <c r="A5705" s="19" t="s">
        <v>8258</v>
      </c>
    </row>
    <row r="5706" spans="1:1" x14ac:dyDescent="0.25">
      <c r="A5706" s="19" t="s">
        <v>8259</v>
      </c>
    </row>
    <row r="5707" spans="1:1" x14ac:dyDescent="0.25">
      <c r="A5707" s="19" t="s">
        <v>8260</v>
      </c>
    </row>
    <row r="5708" spans="1:1" x14ac:dyDescent="0.25">
      <c r="A5708" s="19" t="s">
        <v>8261</v>
      </c>
    </row>
    <row r="5709" spans="1:1" x14ac:dyDescent="0.25">
      <c r="A5709" s="19" t="s">
        <v>8262</v>
      </c>
    </row>
    <row r="5710" spans="1:1" x14ac:dyDescent="0.25">
      <c r="A5710" s="19" t="s">
        <v>8263</v>
      </c>
    </row>
    <row r="5711" spans="1:1" x14ac:dyDescent="0.25">
      <c r="A5711" s="19" t="s">
        <v>8264</v>
      </c>
    </row>
    <row r="5712" spans="1:1" x14ac:dyDescent="0.25">
      <c r="A5712" s="19" t="s">
        <v>8265</v>
      </c>
    </row>
    <row r="5713" spans="1:1" x14ac:dyDescent="0.25">
      <c r="A5713" s="19" t="s">
        <v>8266</v>
      </c>
    </row>
    <row r="5714" spans="1:1" x14ac:dyDescent="0.25">
      <c r="A5714" s="19" t="s">
        <v>8267</v>
      </c>
    </row>
    <row r="5715" spans="1:1" x14ac:dyDescent="0.25">
      <c r="A5715" s="19" t="s">
        <v>8268</v>
      </c>
    </row>
    <row r="5716" spans="1:1" x14ac:dyDescent="0.25">
      <c r="A5716" s="19" t="s">
        <v>8269</v>
      </c>
    </row>
    <row r="5717" spans="1:1" x14ac:dyDescent="0.25">
      <c r="A5717" s="19" t="s">
        <v>8270</v>
      </c>
    </row>
    <row r="5718" spans="1:1" x14ac:dyDescent="0.25">
      <c r="A5718" s="19" t="s">
        <v>8271</v>
      </c>
    </row>
    <row r="5719" spans="1:1" x14ac:dyDescent="0.25">
      <c r="A5719" s="19" t="s">
        <v>8272</v>
      </c>
    </row>
    <row r="5720" spans="1:1" x14ac:dyDescent="0.25">
      <c r="A5720" s="19" t="s">
        <v>8273</v>
      </c>
    </row>
    <row r="5721" spans="1:1" x14ac:dyDescent="0.25">
      <c r="A5721" s="19" t="s">
        <v>8274</v>
      </c>
    </row>
    <row r="5722" spans="1:1" x14ac:dyDescent="0.25">
      <c r="A5722" s="19" t="s">
        <v>8275</v>
      </c>
    </row>
    <row r="5723" spans="1:1" x14ac:dyDescent="0.25">
      <c r="A5723" s="19" t="s">
        <v>8276</v>
      </c>
    </row>
    <row r="5724" spans="1:1" x14ac:dyDescent="0.25">
      <c r="A5724" s="19" t="s">
        <v>8277</v>
      </c>
    </row>
    <row r="5725" spans="1:1" x14ac:dyDescent="0.25">
      <c r="A5725" s="19" t="s">
        <v>8278</v>
      </c>
    </row>
    <row r="5726" spans="1:1" x14ac:dyDescent="0.25">
      <c r="A5726" s="19" t="s">
        <v>8279</v>
      </c>
    </row>
    <row r="5727" spans="1:1" x14ac:dyDescent="0.25">
      <c r="A5727" s="19" t="s">
        <v>8280</v>
      </c>
    </row>
    <row r="5728" spans="1:1" x14ac:dyDescent="0.25">
      <c r="A5728" s="19" t="s">
        <v>8281</v>
      </c>
    </row>
    <row r="5729" spans="1:1" x14ac:dyDescent="0.25">
      <c r="A5729" s="19" t="s">
        <v>8282</v>
      </c>
    </row>
    <row r="5730" spans="1:1" x14ac:dyDescent="0.25">
      <c r="A5730" s="19" t="s">
        <v>8283</v>
      </c>
    </row>
    <row r="5731" spans="1:1" x14ac:dyDescent="0.25">
      <c r="A5731" s="19" t="s">
        <v>8284</v>
      </c>
    </row>
    <row r="5732" spans="1:1" x14ac:dyDescent="0.25">
      <c r="A5732" s="19" t="s">
        <v>8285</v>
      </c>
    </row>
    <row r="5733" spans="1:1" x14ac:dyDescent="0.25">
      <c r="A5733" s="19" t="s">
        <v>8286</v>
      </c>
    </row>
    <row r="5734" spans="1:1" x14ac:dyDescent="0.25">
      <c r="A5734" s="19" t="s">
        <v>8287</v>
      </c>
    </row>
    <row r="5735" spans="1:1" x14ac:dyDescent="0.25">
      <c r="A5735" s="19" t="s">
        <v>8288</v>
      </c>
    </row>
    <row r="5736" spans="1:1" x14ac:dyDescent="0.25">
      <c r="A5736" s="19" t="s">
        <v>8289</v>
      </c>
    </row>
    <row r="5737" spans="1:1" x14ac:dyDescent="0.25">
      <c r="A5737" s="19" t="s">
        <v>8290</v>
      </c>
    </row>
    <row r="5738" spans="1:1" x14ac:dyDescent="0.25">
      <c r="A5738" s="19" t="s">
        <v>8291</v>
      </c>
    </row>
    <row r="5739" spans="1:1" x14ac:dyDescent="0.25">
      <c r="A5739" s="19" t="s">
        <v>8292</v>
      </c>
    </row>
    <row r="5740" spans="1:1" x14ac:dyDescent="0.25">
      <c r="A5740" s="19" t="s">
        <v>8293</v>
      </c>
    </row>
    <row r="5741" spans="1:1" x14ac:dyDescent="0.25">
      <c r="A5741" s="19" t="s">
        <v>8294</v>
      </c>
    </row>
    <row r="5742" spans="1:1" x14ac:dyDescent="0.25">
      <c r="A5742" s="19" t="s">
        <v>8295</v>
      </c>
    </row>
    <row r="5743" spans="1:1" x14ac:dyDescent="0.25">
      <c r="A5743" s="19" t="s">
        <v>8296</v>
      </c>
    </row>
    <row r="5744" spans="1:1" x14ac:dyDescent="0.25">
      <c r="A5744" s="19" t="s">
        <v>8297</v>
      </c>
    </row>
    <row r="5745" spans="1:1" x14ac:dyDescent="0.25">
      <c r="A5745" s="19" t="s">
        <v>8298</v>
      </c>
    </row>
    <row r="5746" spans="1:1" x14ac:dyDescent="0.25">
      <c r="A5746" s="19" t="s">
        <v>8299</v>
      </c>
    </row>
    <row r="5747" spans="1:1" x14ac:dyDescent="0.25">
      <c r="A5747" s="19" t="s">
        <v>8300</v>
      </c>
    </row>
    <row r="5748" spans="1:1" x14ac:dyDescent="0.25">
      <c r="A5748" s="19" t="s">
        <v>8301</v>
      </c>
    </row>
    <row r="5749" spans="1:1" x14ac:dyDescent="0.25">
      <c r="A5749" s="19" t="s">
        <v>8302</v>
      </c>
    </row>
    <row r="5750" spans="1:1" x14ac:dyDescent="0.25">
      <c r="A5750" s="19" t="s">
        <v>8303</v>
      </c>
    </row>
    <row r="5751" spans="1:1" x14ac:dyDescent="0.25">
      <c r="A5751" s="19" t="s">
        <v>8304</v>
      </c>
    </row>
    <row r="5752" spans="1:1" x14ac:dyDescent="0.25">
      <c r="A5752" s="19" t="s">
        <v>8305</v>
      </c>
    </row>
    <row r="5753" spans="1:1" x14ac:dyDescent="0.25">
      <c r="A5753" s="19" t="s">
        <v>8306</v>
      </c>
    </row>
    <row r="5754" spans="1:1" x14ac:dyDescent="0.25">
      <c r="A5754" s="19" t="s">
        <v>8307</v>
      </c>
    </row>
    <row r="5755" spans="1:1" x14ac:dyDescent="0.25">
      <c r="A5755" s="19" t="s">
        <v>8308</v>
      </c>
    </row>
    <row r="5756" spans="1:1" x14ac:dyDescent="0.25">
      <c r="A5756" s="19" t="s">
        <v>8309</v>
      </c>
    </row>
    <row r="5757" spans="1:1" x14ac:dyDescent="0.25">
      <c r="A5757" s="19" t="s">
        <v>8310</v>
      </c>
    </row>
    <row r="5758" spans="1:1" x14ac:dyDescent="0.25">
      <c r="A5758" s="19" t="s">
        <v>8311</v>
      </c>
    </row>
    <row r="5759" spans="1:1" x14ac:dyDescent="0.25">
      <c r="A5759" s="19" t="s">
        <v>8312</v>
      </c>
    </row>
    <row r="5760" spans="1:1" x14ac:dyDescent="0.25">
      <c r="A5760" s="19" t="s">
        <v>8313</v>
      </c>
    </row>
    <row r="5761" spans="1:1" x14ac:dyDescent="0.25">
      <c r="A5761" s="19" t="s">
        <v>8314</v>
      </c>
    </row>
    <row r="5762" spans="1:1" x14ac:dyDescent="0.25">
      <c r="A5762" s="19" t="s">
        <v>8315</v>
      </c>
    </row>
    <row r="5763" spans="1:1" x14ac:dyDescent="0.25">
      <c r="A5763" s="19" t="s">
        <v>8316</v>
      </c>
    </row>
    <row r="5764" spans="1:1" x14ac:dyDescent="0.25">
      <c r="A5764" s="19" t="s">
        <v>8317</v>
      </c>
    </row>
    <row r="5765" spans="1:1" x14ac:dyDescent="0.25">
      <c r="A5765" s="19" t="s">
        <v>8318</v>
      </c>
    </row>
    <row r="5766" spans="1:1" x14ac:dyDescent="0.25">
      <c r="A5766" s="19" t="s">
        <v>8319</v>
      </c>
    </row>
    <row r="5767" spans="1:1" x14ac:dyDescent="0.25">
      <c r="A5767" s="19" t="s">
        <v>8320</v>
      </c>
    </row>
    <row r="5768" spans="1:1" x14ac:dyDescent="0.25">
      <c r="A5768" s="19" t="s">
        <v>8321</v>
      </c>
    </row>
    <row r="5769" spans="1:1" x14ac:dyDescent="0.25">
      <c r="A5769" s="19" t="s">
        <v>8322</v>
      </c>
    </row>
    <row r="5770" spans="1:1" x14ac:dyDescent="0.25">
      <c r="A5770" s="19" t="s">
        <v>8323</v>
      </c>
    </row>
    <row r="5771" spans="1:1" x14ac:dyDescent="0.25">
      <c r="A5771" s="19" t="s">
        <v>8324</v>
      </c>
    </row>
    <row r="5772" spans="1:1" x14ac:dyDescent="0.25">
      <c r="A5772" s="19" t="s">
        <v>8325</v>
      </c>
    </row>
    <row r="5773" spans="1:1" x14ac:dyDescent="0.25">
      <c r="A5773" s="19" t="s">
        <v>8326</v>
      </c>
    </row>
    <row r="5774" spans="1:1" x14ac:dyDescent="0.25">
      <c r="A5774" s="19" t="s">
        <v>8327</v>
      </c>
    </row>
    <row r="5775" spans="1:1" x14ac:dyDescent="0.25">
      <c r="A5775" s="19" t="s">
        <v>8328</v>
      </c>
    </row>
    <row r="5776" spans="1:1" x14ac:dyDescent="0.25">
      <c r="A5776" s="19" t="s">
        <v>8329</v>
      </c>
    </row>
    <row r="5777" spans="1:1" x14ac:dyDescent="0.25">
      <c r="A5777" s="19" t="s">
        <v>8330</v>
      </c>
    </row>
    <row r="5778" spans="1:1" x14ac:dyDescent="0.25">
      <c r="A5778" s="19" t="s">
        <v>8331</v>
      </c>
    </row>
    <row r="5779" spans="1:1" x14ac:dyDescent="0.25">
      <c r="A5779" s="19" t="s">
        <v>8332</v>
      </c>
    </row>
    <row r="5780" spans="1:1" x14ac:dyDescent="0.25">
      <c r="A5780" s="19" t="s">
        <v>8333</v>
      </c>
    </row>
    <row r="5781" spans="1:1" x14ac:dyDescent="0.25">
      <c r="A5781" s="19" t="s">
        <v>8334</v>
      </c>
    </row>
    <row r="5782" spans="1:1" x14ac:dyDescent="0.25">
      <c r="A5782" s="19" t="s">
        <v>8335</v>
      </c>
    </row>
    <row r="5783" spans="1:1" x14ac:dyDescent="0.25">
      <c r="A5783" s="19" t="s">
        <v>8336</v>
      </c>
    </row>
    <row r="5784" spans="1:1" x14ac:dyDescent="0.25">
      <c r="A5784" s="19" t="s">
        <v>8337</v>
      </c>
    </row>
    <row r="5785" spans="1:1" x14ac:dyDescent="0.25">
      <c r="A5785" s="19" t="s">
        <v>8338</v>
      </c>
    </row>
    <row r="5786" spans="1:1" x14ac:dyDescent="0.25">
      <c r="A5786" s="19" t="s">
        <v>8339</v>
      </c>
    </row>
    <row r="5787" spans="1:1" x14ac:dyDescent="0.25">
      <c r="A5787" s="19" t="s">
        <v>8340</v>
      </c>
    </row>
    <row r="5788" spans="1:1" x14ac:dyDescent="0.25">
      <c r="A5788" s="19" t="s">
        <v>8341</v>
      </c>
    </row>
    <row r="5789" spans="1:1" x14ac:dyDescent="0.25">
      <c r="A5789" s="19" t="s">
        <v>8342</v>
      </c>
    </row>
    <row r="5790" spans="1:1" x14ac:dyDescent="0.25">
      <c r="A5790" s="19" t="s">
        <v>8343</v>
      </c>
    </row>
    <row r="5791" spans="1:1" x14ac:dyDescent="0.25">
      <c r="A5791" s="19" t="s">
        <v>8344</v>
      </c>
    </row>
    <row r="5792" spans="1:1" x14ac:dyDescent="0.25">
      <c r="A5792" s="19" t="s">
        <v>8345</v>
      </c>
    </row>
    <row r="5793" spans="1:1" x14ac:dyDescent="0.25">
      <c r="A5793" s="19" t="s">
        <v>8346</v>
      </c>
    </row>
    <row r="5794" spans="1:1" x14ac:dyDescent="0.25">
      <c r="A5794" s="19" t="s">
        <v>8347</v>
      </c>
    </row>
    <row r="5795" spans="1:1" x14ac:dyDescent="0.25">
      <c r="A5795" s="19" t="s">
        <v>8348</v>
      </c>
    </row>
    <row r="5796" spans="1:1" x14ac:dyDescent="0.25">
      <c r="A5796" s="19" t="s">
        <v>8349</v>
      </c>
    </row>
    <row r="5797" spans="1:1" x14ac:dyDescent="0.25">
      <c r="A5797" s="19" t="s">
        <v>8350</v>
      </c>
    </row>
    <row r="5798" spans="1:1" x14ac:dyDescent="0.25">
      <c r="A5798" s="19" t="s">
        <v>8351</v>
      </c>
    </row>
    <row r="5799" spans="1:1" x14ac:dyDescent="0.25">
      <c r="A5799" s="19" t="s">
        <v>8352</v>
      </c>
    </row>
    <row r="5800" spans="1:1" x14ac:dyDescent="0.25">
      <c r="A5800" s="19" t="s">
        <v>8353</v>
      </c>
    </row>
    <row r="5801" spans="1:1" x14ac:dyDescent="0.25">
      <c r="A5801" s="19" t="s">
        <v>8354</v>
      </c>
    </row>
    <row r="5802" spans="1:1" x14ac:dyDescent="0.25">
      <c r="A5802" s="19" t="s">
        <v>8355</v>
      </c>
    </row>
    <row r="5803" spans="1:1" x14ac:dyDescent="0.25">
      <c r="A5803" s="19" t="s">
        <v>8356</v>
      </c>
    </row>
    <row r="5804" spans="1:1" x14ac:dyDescent="0.25">
      <c r="A5804" s="19" t="s">
        <v>8357</v>
      </c>
    </row>
    <row r="5805" spans="1:1" x14ac:dyDescent="0.25">
      <c r="A5805" s="19" t="s">
        <v>8358</v>
      </c>
    </row>
    <row r="5806" spans="1:1" x14ac:dyDescent="0.25">
      <c r="A5806" s="19" t="s">
        <v>8359</v>
      </c>
    </row>
    <row r="5807" spans="1:1" x14ac:dyDescent="0.25">
      <c r="A5807" s="19" t="s">
        <v>8360</v>
      </c>
    </row>
    <row r="5808" spans="1:1" x14ac:dyDescent="0.25">
      <c r="A5808" s="19" t="s">
        <v>8361</v>
      </c>
    </row>
    <row r="5809" spans="1:1" x14ac:dyDescent="0.25">
      <c r="A5809" s="19" t="s">
        <v>8362</v>
      </c>
    </row>
    <row r="5810" spans="1:1" x14ac:dyDescent="0.25">
      <c r="A5810" s="19" t="s">
        <v>8363</v>
      </c>
    </row>
    <row r="5811" spans="1:1" x14ac:dyDescent="0.25">
      <c r="A5811" s="19" t="s">
        <v>8364</v>
      </c>
    </row>
    <row r="5812" spans="1:1" x14ac:dyDescent="0.25">
      <c r="A5812" s="19" t="s">
        <v>8365</v>
      </c>
    </row>
    <row r="5813" spans="1:1" x14ac:dyDescent="0.25">
      <c r="A5813" s="19" t="s">
        <v>8366</v>
      </c>
    </row>
    <row r="5814" spans="1:1" x14ac:dyDescent="0.25">
      <c r="A5814" s="19" t="s">
        <v>8367</v>
      </c>
    </row>
    <row r="5815" spans="1:1" x14ac:dyDescent="0.25">
      <c r="A5815" s="19" t="s">
        <v>8368</v>
      </c>
    </row>
    <row r="5816" spans="1:1" x14ac:dyDescent="0.25">
      <c r="A5816" s="19" t="s">
        <v>8369</v>
      </c>
    </row>
    <row r="5817" spans="1:1" x14ac:dyDescent="0.25">
      <c r="A5817" s="19" t="s">
        <v>8370</v>
      </c>
    </row>
    <row r="5818" spans="1:1" x14ac:dyDescent="0.25">
      <c r="A5818" s="19" t="s">
        <v>8370</v>
      </c>
    </row>
    <row r="5819" spans="1:1" x14ac:dyDescent="0.25">
      <c r="A5819" s="19" t="s">
        <v>8371</v>
      </c>
    </row>
    <row r="5820" spans="1:1" x14ac:dyDescent="0.25">
      <c r="A5820" s="19" t="s">
        <v>8372</v>
      </c>
    </row>
    <row r="5821" spans="1:1" x14ac:dyDescent="0.25">
      <c r="A5821" s="19" t="s">
        <v>8373</v>
      </c>
    </row>
    <row r="5822" spans="1:1" x14ac:dyDescent="0.25">
      <c r="A5822" s="19" t="s">
        <v>8374</v>
      </c>
    </row>
    <row r="5823" spans="1:1" x14ac:dyDescent="0.25">
      <c r="A5823" s="19" t="s">
        <v>8375</v>
      </c>
    </row>
    <row r="5824" spans="1:1" x14ac:dyDescent="0.25">
      <c r="A5824" s="19" t="s">
        <v>8376</v>
      </c>
    </row>
    <row r="5825" spans="1:1" x14ac:dyDescent="0.25">
      <c r="A5825" s="19" t="s">
        <v>8377</v>
      </c>
    </row>
    <row r="5826" spans="1:1" x14ac:dyDescent="0.25">
      <c r="A5826" s="19" t="s">
        <v>8378</v>
      </c>
    </row>
    <row r="5827" spans="1:1" x14ac:dyDescent="0.25">
      <c r="A5827" s="19" t="s">
        <v>8379</v>
      </c>
    </row>
    <row r="5828" spans="1:1" x14ac:dyDescent="0.25">
      <c r="A5828" s="19" t="s">
        <v>8380</v>
      </c>
    </row>
    <row r="5829" spans="1:1" x14ac:dyDescent="0.25">
      <c r="A5829" s="19" t="s">
        <v>8381</v>
      </c>
    </row>
    <row r="5830" spans="1:1" x14ac:dyDescent="0.25">
      <c r="A5830" s="19" t="s">
        <v>8382</v>
      </c>
    </row>
    <row r="5831" spans="1:1" x14ac:dyDescent="0.25">
      <c r="A5831" s="19" t="s">
        <v>8383</v>
      </c>
    </row>
    <row r="5832" spans="1:1" x14ac:dyDescent="0.25">
      <c r="A5832" s="19" t="s">
        <v>8384</v>
      </c>
    </row>
    <row r="5833" spans="1:1" x14ac:dyDescent="0.25">
      <c r="A5833" s="19" t="s">
        <v>8385</v>
      </c>
    </row>
    <row r="5834" spans="1:1" x14ac:dyDescent="0.25">
      <c r="A5834" s="19" t="s">
        <v>8386</v>
      </c>
    </row>
    <row r="5835" spans="1:1" x14ac:dyDescent="0.25">
      <c r="A5835" s="19" t="s">
        <v>8387</v>
      </c>
    </row>
    <row r="5836" spans="1:1" x14ac:dyDescent="0.25">
      <c r="A5836" s="19" t="s">
        <v>8388</v>
      </c>
    </row>
    <row r="5837" spans="1:1" x14ac:dyDescent="0.25">
      <c r="A5837" s="19" t="s">
        <v>8389</v>
      </c>
    </row>
    <row r="5838" spans="1:1" x14ac:dyDescent="0.25">
      <c r="A5838" s="19" t="s">
        <v>8390</v>
      </c>
    </row>
    <row r="5839" spans="1:1" x14ac:dyDescent="0.25">
      <c r="A5839" s="19" t="s">
        <v>8391</v>
      </c>
    </row>
    <row r="5840" spans="1:1" x14ac:dyDescent="0.25">
      <c r="A5840" s="19" t="s">
        <v>8392</v>
      </c>
    </row>
    <row r="5841" spans="1:1" x14ac:dyDescent="0.25">
      <c r="A5841" s="19" t="s">
        <v>8393</v>
      </c>
    </row>
    <row r="5842" spans="1:1" x14ac:dyDescent="0.25">
      <c r="A5842" s="19" t="s">
        <v>8394</v>
      </c>
    </row>
    <row r="5843" spans="1:1" x14ac:dyDescent="0.25">
      <c r="A5843" s="19" t="s">
        <v>8395</v>
      </c>
    </row>
    <row r="5844" spans="1:1" x14ac:dyDescent="0.25">
      <c r="A5844" s="19" t="s">
        <v>8396</v>
      </c>
    </row>
    <row r="5845" spans="1:1" x14ac:dyDescent="0.25">
      <c r="A5845" s="19" t="s">
        <v>8397</v>
      </c>
    </row>
    <row r="5846" spans="1:1" x14ac:dyDescent="0.25">
      <c r="A5846" s="19" t="s">
        <v>8398</v>
      </c>
    </row>
    <row r="5847" spans="1:1" x14ac:dyDescent="0.25">
      <c r="A5847" s="19" t="s">
        <v>8399</v>
      </c>
    </row>
    <row r="5848" spans="1:1" x14ac:dyDescent="0.25">
      <c r="A5848" s="19" t="s">
        <v>8400</v>
      </c>
    </row>
    <row r="5849" spans="1:1" x14ac:dyDescent="0.25">
      <c r="A5849" s="19" t="s">
        <v>8401</v>
      </c>
    </row>
    <row r="5850" spans="1:1" x14ac:dyDescent="0.25">
      <c r="A5850" s="19" t="s">
        <v>8402</v>
      </c>
    </row>
    <row r="5851" spans="1:1" x14ac:dyDescent="0.25">
      <c r="A5851" s="19" t="s">
        <v>8403</v>
      </c>
    </row>
    <row r="5852" spans="1:1" x14ac:dyDescent="0.25">
      <c r="A5852" s="19" t="s">
        <v>8404</v>
      </c>
    </row>
    <row r="5853" spans="1:1" x14ac:dyDescent="0.25">
      <c r="A5853" s="19" t="s">
        <v>8405</v>
      </c>
    </row>
    <row r="5854" spans="1:1" x14ac:dyDescent="0.25">
      <c r="A5854" s="19" t="s">
        <v>8406</v>
      </c>
    </row>
    <row r="5855" spans="1:1" x14ac:dyDescent="0.25">
      <c r="A5855" s="19" t="s">
        <v>8407</v>
      </c>
    </row>
    <row r="5856" spans="1:1" x14ac:dyDescent="0.25">
      <c r="A5856" s="19" t="s">
        <v>8408</v>
      </c>
    </row>
    <row r="5857" spans="1:1" x14ac:dyDescent="0.25">
      <c r="A5857" s="19" t="s">
        <v>8409</v>
      </c>
    </row>
    <row r="5858" spans="1:1" x14ac:dyDescent="0.25">
      <c r="A5858" s="19" t="s">
        <v>8410</v>
      </c>
    </row>
    <row r="5859" spans="1:1" x14ac:dyDescent="0.25">
      <c r="A5859" s="19" t="s">
        <v>8411</v>
      </c>
    </row>
    <row r="5860" spans="1:1" x14ac:dyDescent="0.25">
      <c r="A5860" s="19" t="s">
        <v>8412</v>
      </c>
    </row>
    <row r="5861" spans="1:1" x14ac:dyDescent="0.25">
      <c r="A5861" s="19" t="s">
        <v>8413</v>
      </c>
    </row>
    <row r="5862" spans="1:1" x14ac:dyDescent="0.25">
      <c r="A5862" s="19" t="s">
        <v>8414</v>
      </c>
    </row>
    <row r="5863" spans="1:1" x14ac:dyDescent="0.25">
      <c r="A5863" s="19" t="s">
        <v>8415</v>
      </c>
    </row>
    <row r="5864" spans="1:1" x14ac:dyDescent="0.25">
      <c r="A5864" s="19" t="s">
        <v>8416</v>
      </c>
    </row>
    <row r="5865" spans="1:1" x14ac:dyDescent="0.25">
      <c r="A5865" s="19" t="s">
        <v>8417</v>
      </c>
    </row>
    <row r="5866" spans="1:1" x14ac:dyDescent="0.25">
      <c r="A5866" s="19" t="s">
        <v>8418</v>
      </c>
    </row>
    <row r="5867" spans="1:1" x14ac:dyDescent="0.25">
      <c r="A5867" s="19" t="s">
        <v>8419</v>
      </c>
    </row>
    <row r="5868" spans="1:1" x14ac:dyDescent="0.25">
      <c r="A5868" s="19" t="s">
        <v>8420</v>
      </c>
    </row>
    <row r="5869" spans="1:1" x14ac:dyDescent="0.25">
      <c r="A5869" s="19" t="s">
        <v>8421</v>
      </c>
    </row>
    <row r="5870" spans="1:1" x14ac:dyDescent="0.25">
      <c r="A5870" s="19" t="s">
        <v>8422</v>
      </c>
    </row>
    <row r="5871" spans="1:1" x14ac:dyDescent="0.25">
      <c r="A5871" s="19" t="s">
        <v>8423</v>
      </c>
    </row>
    <row r="5872" spans="1:1" x14ac:dyDescent="0.25">
      <c r="A5872" s="19" t="s">
        <v>8424</v>
      </c>
    </row>
    <row r="5873" spans="1:1" x14ac:dyDescent="0.25">
      <c r="A5873" s="19" t="s">
        <v>8425</v>
      </c>
    </row>
    <row r="5874" spans="1:1" x14ac:dyDescent="0.25">
      <c r="A5874" s="19" t="s">
        <v>8426</v>
      </c>
    </row>
    <row r="5875" spans="1:1" x14ac:dyDescent="0.25">
      <c r="A5875" s="19" t="s">
        <v>8427</v>
      </c>
    </row>
    <row r="5876" spans="1:1" x14ac:dyDescent="0.25">
      <c r="A5876" s="19" t="s">
        <v>8428</v>
      </c>
    </row>
    <row r="5877" spans="1:1" x14ac:dyDescent="0.25">
      <c r="A5877" s="19" t="s">
        <v>8429</v>
      </c>
    </row>
    <row r="5878" spans="1:1" x14ac:dyDescent="0.25">
      <c r="A5878" s="19" t="s">
        <v>8430</v>
      </c>
    </row>
    <row r="5879" spans="1:1" x14ac:dyDescent="0.25">
      <c r="A5879" s="19" t="s">
        <v>8431</v>
      </c>
    </row>
    <row r="5880" spans="1:1" x14ac:dyDescent="0.25">
      <c r="A5880" s="19" t="s">
        <v>8432</v>
      </c>
    </row>
    <row r="5881" spans="1:1" x14ac:dyDescent="0.25">
      <c r="A5881" s="19" t="s">
        <v>8433</v>
      </c>
    </row>
    <row r="5882" spans="1:1" x14ac:dyDescent="0.25">
      <c r="A5882" s="19" t="s">
        <v>8434</v>
      </c>
    </row>
    <row r="5883" spans="1:1" x14ac:dyDescent="0.25">
      <c r="A5883" s="19" t="s">
        <v>8435</v>
      </c>
    </row>
    <row r="5884" spans="1:1" x14ac:dyDescent="0.25">
      <c r="A5884" s="19" t="s">
        <v>8436</v>
      </c>
    </row>
    <row r="5885" spans="1:1" x14ac:dyDescent="0.25">
      <c r="A5885" s="19" t="s">
        <v>8437</v>
      </c>
    </row>
    <row r="5886" spans="1:1" x14ac:dyDescent="0.25">
      <c r="A5886" s="19" t="s">
        <v>8438</v>
      </c>
    </row>
    <row r="5887" spans="1:1" x14ac:dyDescent="0.25">
      <c r="A5887" s="19" t="s">
        <v>8439</v>
      </c>
    </row>
    <row r="5888" spans="1:1" x14ac:dyDescent="0.25">
      <c r="A5888" s="19" t="s">
        <v>8440</v>
      </c>
    </row>
    <row r="5889" spans="1:1" x14ac:dyDescent="0.25">
      <c r="A5889" s="19" t="s">
        <v>8441</v>
      </c>
    </row>
    <row r="5890" spans="1:1" x14ac:dyDescent="0.25">
      <c r="A5890" s="19" t="s">
        <v>8442</v>
      </c>
    </row>
    <row r="5891" spans="1:1" x14ac:dyDescent="0.25">
      <c r="A5891" s="19" t="s">
        <v>8443</v>
      </c>
    </row>
    <row r="5892" spans="1:1" x14ac:dyDescent="0.25">
      <c r="A5892" s="19" t="s">
        <v>8444</v>
      </c>
    </row>
    <row r="5893" spans="1:1" x14ac:dyDescent="0.25">
      <c r="A5893" s="19" t="s">
        <v>8445</v>
      </c>
    </row>
    <row r="5894" spans="1:1" x14ac:dyDescent="0.25">
      <c r="A5894" s="19" t="s">
        <v>8446</v>
      </c>
    </row>
    <row r="5895" spans="1:1" x14ac:dyDescent="0.25">
      <c r="A5895" s="19" t="s">
        <v>8447</v>
      </c>
    </row>
    <row r="5896" spans="1:1" x14ac:dyDescent="0.25">
      <c r="A5896" s="19" t="s">
        <v>8448</v>
      </c>
    </row>
    <row r="5897" spans="1:1" x14ac:dyDescent="0.25">
      <c r="A5897" s="19" t="s">
        <v>8449</v>
      </c>
    </row>
    <row r="5898" spans="1:1" x14ac:dyDescent="0.25">
      <c r="A5898" s="19" t="s">
        <v>8450</v>
      </c>
    </row>
    <row r="5899" spans="1:1" x14ac:dyDescent="0.25">
      <c r="A5899" s="19" t="s">
        <v>8451</v>
      </c>
    </row>
    <row r="5900" spans="1:1" x14ac:dyDescent="0.25">
      <c r="A5900" s="19" t="s">
        <v>8452</v>
      </c>
    </row>
    <row r="5901" spans="1:1" x14ac:dyDescent="0.25">
      <c r="A5901" s="19" t="s">
        <v>8453</v>
      </c>
    </row>
    <row r="5902" spans="1:1" x14ac:dyDescent="0.25">
      <c r="A5902" s="19" t="s">
        <v>8454</v>
      </c>
    </row>
    <row r="5903" spans="1:1" x14ac:dyDescent="0.25">
      <c r="A5903" s="19" t="s">
        <v>8455</v>
      </c>
    </row>
    <row r="5904" spans="1:1" x14ac:dyDescent="0.25">
      <c r="A5904" s="19" t="s">
        <v>8456</v>
      </c>
    </row>
    <row r="5905" spans="1:1" x14ac:dyDescent="0.25">
      <c r="A5905" s="19" t="s">
        <v>8457</v>
      </c>
    </row>
    <row r="5906" spans="1:1" x14ac:dyDescent="0.25">
      <c r="A5906" s="19" t="s">
        <v>8458</v>
      </c>
    </row>
    <row r="5907" spans="1:1" x14ac:dyDescent="0.25">
      <c r="A5907" s="19" t="s">
        <v>8459</v>
      </c>
    </row>
    <row r="5908" spans="1:1" x14ac:dyDescent="0.25">
      <c r="A5908" s="19" t="s">
        <v>8460</v>
      </c>
    </row>
    <row r="5909" spans="1:1" x14ac:dyDescent="0.25">
      <c r="A5909" s="19" t="s">
        <v>8461</v>
      </c>
    </row>
    <row r="5910" spans="1:1" x14ac:dyDescent="0.25">
      <c r="A5910" s="19" t="s">
        <v>8462</v>
      </c>
    </row>
    <row r="5911" spans="1:1" x14ac:dyDescent="0.25">
      <c r="A5911" s="19" t="s">
        <v>8463</v>
      </c>
    </row>
    <row r="5912" spans="1:1" x14ac:dyDescent="0.25">
      <c r="A5912" s="19" t="s">
        <v>8464</v>
      </c>
    </row>
    <row r="5913" spans="1:1" x14ac:dyDescent="0.25">
      <c r="A5913" s="19" t="s">
        <v>8465</v>
      </c>
    </row>
    <row r="5914" spans="1:1" x14ac:dyDescent="0.25">
      <c r="A5914" s="19" t="s">
        <v>8466</v>
      </c>
    </row>
    <row r="5915" spans="1:1" x14ac:dyDescent="0.25">
      <c r="A5915" s="19" t="s">
        <v>8467</v>
      </c>
    </row>
    <row r="5916" spans="1:1" x14ac:dyDescent="0.25">
      <c r="A5916" s="19" t="s">
        <v>8468</v>
      </c>
    </row>
    <row r="5917" spans="1:1" x14ac:dyDescent="0.25">
      <c r="A5917" s="19" t="s">
        <v>8469</v>
      </c>
    </row>
    <row r="5918" spans="1:1" x14ac:dyDescent="0.25">
      <c r="A5918" s="19" t="s">
        <v>8470</v>
      </c>
    </row>
    <row r="5919" spans="1:1" x14ac:dyDescent="0.25">
      <c r="A5919" s="19" t="s">
        <v>8471</v>
      </c>
    </row>
    <row r="5920" spans="1:1" x14ac:dyDescent="0.25">
      <c r="A5920" s="19" t="s">
        <v>8472</v>
      </c>
    </row>
    <row r="5921" spans="1:1" x14ac:dyDescent="0.25">
      <c r="A5921" s="19" t="s">
        <v>8473</v>
      </c>
    </row>
    <row r="5922" spans="1:1" x14ac:dyDescent="0.25">
      <c r="A5922" s="19" t="s">
        <v>8474</v>
      </c>
    </row>
    <row r="5923" spans="1:1" x14ac:dyDescent="0.25">
      <c r="A5923" s="19" t="s">
        <v>8475</v>
      </c>
    </row>
    <row r="5924" spans="1:1" x14ac:dyDescent="0.25">
      <c r="A5924" s="19" t="s">
        <v>8476</v>
      </c>
    </row>
    <row r="5925" spans="1:1" x14ac:dyDescent="0.25">
      <c r="A5925" s="19" t="s">
        <v>8477</v>
      </c>
    </row>
    <row r="5926" spans="1:1" x14ac:dyDescent="0.25">
      <c r="A5926" s="19" t="s">
        <v>8478</v>
      </c>
    </row>
    <row r="5927" spans="1:1" x14ac:dyDescent="0.25">
      <c r="A5927" s="19" t="s">
        <v>8479</v>
      </c>
    </row>
    <row r="5928" spans="1:1" x14ac:dyDescent="0.25">
      <c r="A5928" s="19" t="s">
        <v>8480</v>
      </c>
    </row>
    <row r="5929" spans="1:1" x14ac:dyDescent="0.25">
      <c r="A5929" s="19" t="s">
        <v>8481</v>
      </c>
    </row>
    <row r="5930" spans="1:1" x14ac:dyDescent="0.25">
      <c r="A5930" s="19" t="s">
        <v>8482</v>
      </c>
    </row>
    <row r="5931" spans="1:1" x14ac:dyDescent="0.25">
      <c r="A5931" s="19" t="s">
        <v>8483</v>
      </c>
    </row>
    <row r="5932" spans="1:1" x14ac:dyDescent="0.25">
      <c r="A5932" s="19" t="s">
        <v>8484</v>
      </c>
    </row>
    <row r="5933" spans="1:1" x14ac:dyDescent="0.25">
      <c r="A5933" s="19" t="s">
        <v>8485</v>
      </c>
    </row>
    <row r="5934" spans="1:1" x14ac:dyDescent="0.25">
      <c r="A5934" s="19" t="s">
        <v>8486</v>
      </c>
    </row>
    <row r="5935" spans="1:1" x14ac:dyDescent="0.25">
      <c r="A5935" s="19" t="s">
        <v>8487</v>
      </c>
    </row>
    <row r="5936" spans="1:1" x14ac:dyDescent="0.25">
      <c r="A5936" s="19" t="s">
        <v>8488</v>
      </c>
    </row>
    <row r="5937" spans="1:1" x14ac:dyDescent="0.25">
      <c r="A5937" s="19" t="s">
        <v>8489</v>
      </c>
    </row>
    <row r="5938" spans="1:1" x14ac:dyDescent="0.25">
      <c r="A5938" s="19" t="s">
        <v>8490</v>
      </c>
    </row>
    <row r="5939" spans="1:1" x14ac:dyDescent="0.25">
      <c r="A5939" s="19" t="s">
        <v>8491</v>
      </c>
    </row>
    <row r="5940" spans="1:1" x14ac:dyDescent="0.25">
      <c r="A5940" s="19" t="s">
        <v>8492</v>
      </c>
    </row>
    <row r="5941" spans="1:1" x14ac:dyDescent="0.25">
      <c r="A5941" s="19" t="s">
        <v>8493</v>
      </c>
    </row>
    <row r="5942" spans="1:1" x14ac:dyDescent="0.25">
      <c r="A5942" s="19" t="s">
        <v>8494</v>
      </c>
    </row>
    <row r="5943" spans="1:1" x14ac:dyDescent="0.25">
      <c r="A5943" s="19" t="s">
        <v>8495</v>
      </c>
    </row>
    <row r="5944" spans="1:1" x14ac:dyDescent="0.25">
      <c r="A5944" s="19" t="s">
        <v>8496</v>
      </c>
    </row>
    <row r="5945" spans="1:1" x14ac:dyDescent="0.25">
      <c r="A5945" s="19" t="s">
        <v>8497</v>
      </c>
    </row>
    <row r="5946" spans="1:1" x14ac:dyDescent="0.25">
      <c r="A5946" s="19" t="s">
        <v>8498</v>
      </c>
    </row>
    <row r="5947" spans="1:1" x14ac:dyDescent="0.25">
      <c r="A5947" s="19" t="s">
        <v>8499</v>
      </c>
    </row>
    <row r="5948" spans="1:1" x14ac:dyDescent="0.25">
      <c r="A5948" s="19" t="s">
        <v>8500</v>
      </c>
    </row>
    <row r="5949" spans="1:1" x14ac:dyDescent="0.25">
      <c r="A5949" s="19" t="s">
        <v>8501</v>
      </c>
    </row>
    <row r="5950" spans="1:1" x14ac:dyDescent="0.25">
      <c r="A5950" s="19" t="s">
        <v>8502</v>
      </c>
    </row>
    <row r="5951" spans="1:1" x14ac:dyDescent="0.25">
      <c r="A5951" s="19" t="s">
        <v>8503</v>
      </c>
    </row>
    <row r="5952" spans="1:1" x14ac:dyDescent="0.25">
      <c r="A5952" s="19" t="s">
        <v>8504</v>
      </c>
    </row>
    <row r="5953" spans="1:1" x14ac:dyDescent="0.25">
      <c r="A5953" s="19" t="s">
        <v>8505</v>
      </c>
    </row>
    <row r="5954" spans="1:1" x14ac:dyDescent="0.25">
      <c r="A5954" s="19" t="s">
        <v>8506</v>
      </c>
    </row>
    <row r="5955" spans="1:1" x14ac:dyDescent="0.25">
      <c r="A5955" s="19" t="s">
        <v>8507</v>
      </c>
    </row>
    <row r="5956" spans="1:1" x14ac:dyDescent="0.25">
      <c r="A5956" s="19" t="s">
        <v>8508</v>
      </c>
    </row>
    <row r="5957" spans="1:1" x14ac:dyDescent="0.25">
      <c r="A5957" s="19" t="s">
        <v>8509</v>
      </c>
    </row>
    <row r="5958" spans="1:1" x14ac:dyDescent="0.25">
      <c r="A5958" s="19" t="s">
        <v>8510</v>
      </c>
    </row>
    <row r="5959" spans="1:1" x14ac:dyDescent="0.25">
      <c r="A5959" s="19" t="s">
        <v>8511</v>
      </c>
    </row>
    <row r="5960" spans="1:1" x14ac:dyDescent="0.25">
      <c r="A5960" s="19" t="s">
        <v>8512</v>
      </c>
    </row>
    <row r="5961" spans="1:1" x14ac:dyDescent="0.25">
      <c r="A5961" s="19" t="s">
        <v>8513</v>
      </c>
    </row>
    <row r="5962" spans="1:1" x14ac:dyDescent="0.25">
      <c r="A5962" s="19" t="s">
        <v>8514</v>
      </c>
    </row>
    <row r="5963" spans="1:1" x14ac:dyDescent="0.25">
      <c r="A5963" s="19" t="s">
        <v>8515</v>
      </c>
    </row>
    <row r="5964" spans="1:1" x14ac:dyDescent="0.25">
      <c r="A5964" s="19" t="s">
        <v>8516</v>
      </c>
    </row>
    <row r="5965" spans="1:1" x14ac:dyDescent="0.25">
      <c r="A5965" s="19" t="s">
        <v>8517</v>
      </c>
    </row>
    <row r="5966" spans="1:1" x14ac:dyDescent="0.25">
      <c r="A5966" s="19" t="s">
        <v>8518</v>
      </c>
    </row>
    <row r="5967" spans="1:1" x14ac:dyDescent="0.25">
      <c r="A5967" s="19" t="s">
        <v>8519</v>
      </c>
    </row>
    <row r="5968" spans="1:1" x14ac:dyDescent="0.25">
      <c r="A5968" s="19" t="s">
        <v>8520</v>
      </c>
    </row>
    <row r="5969" spans="1:1" x14ac:dyDescent="0.25">
      <c r="A5969" s="19" t="s">
        <v>8521</v>
      </c>
    </row>
    <row r="5970" spans="1:1" x14ac:dyDescent="0.25">
      <c r="A5970" s="19" t="s">
        <v>8522</v>
      </c>
    </row>
    <row r="5971" spans="1:1" x14ac:dyDescent="0.25">
      <c r="A5971" s="19" t="s">
        <v>8523</v>
      </c>
    </row>
    <row r="5972" spans="1:1" x14ac:dyDescent="0.25">
      <c r="A5972" s="19" t="s">
        <v>8523</v>
      </c>
    </row>
    <row r="5973" spans="1:1" x14ac:dyDescent="0.25">
      <c r="A5973" s="19" t="s">
        <v>8524</v>
      </c>
    </row>
    <row r="5974" spans="1:1" x14ac:dyDescent="0.25">
      <c r="A5974" s="19" t="s">
        <v>8525</v>
      </c>
    </row>
    <row r="5975" spans="1:1" x14ac:dyDescent="0.25">
      <c r="A5975" s="19" t="s">
        <v>8526</v>
      </c>
    </row>
    <row r="5976" spans="1:1" x14ac:dyDescent="0.25">
      <c r="A5976" s="19" t="s">
        <v>8527</v>
      </c>
    </row>
    <row r="5977" spans="1:1" x14ac:dyDescent="0.25">
      <c r="A5977" s="19" t="s">
        <v>8528</v>
      </c>
    </row>
    <row r="5978" spans="1:1" x14ac:dyDescent="0.25">
      <c r="A5978" s="19" t="s">
        <v>8529</v>
      </c>
    </row>
    <row r="5979" spans="1:1" x14ac:dyDescent="0.25">
      <c r="A5979" s="19" t="s">
        <v>8530</v>
      </c>
    </row>
    <row r="5980" spans="1:1" x14ac:dyDescent="0.25">
      <c r="A5980" s="19" t="s">
        <v>8531</v>
      </c>
    </row>
    <row r="5981" spans="1:1" x14ac:dyDescent="0.25">
      <c r="A5981" s="19" t="s">
        <v>8532</v>
      </c>
    </row>
    <row r="5982" spans="1:1" x14ac:dyDescent="0.25">
      <c r="A5982" s="19" t="s">
        <v>8533</v>
      </c>
    </row>
    <row r="5983" spans="1:1" x14ac:dyDescent="0.25">
      <c r="A5983" s="19" t="s">
        <v>8534</v>
      </c>
    </row>
    <row r="5984" spans="1:1" x14ac:dyDescent="0.25">
      <c r="A5984" s="19" t="s">
        <v>8535</v>
      </c>
    </row>
    <row r="5985" spans="1:1" x14ac:dyDescent="0.25">
      <c r="A5985" s="19" t="s">
        <v>8536</v>
      </c>
    </row>
    <row r="5986" spans="1:1" x14ac:dyDescent="0.25">
      <c r="A5986" s="19" t="s">
        <v>8537</v>
      </c>
    </row>
    <row r="5987" spans="1:1" x14ac:dyDescent="0.25">
      <c r="A5987" s="19" t="s">
        <v>8538</v>
      </c>
    </row>
    <row r="5988" spans="1:1" x14ac:dyDescent="0.25">
      <c r="A5988" s="19" t="s">
        <v>8539</v>
      </c>
    </row>
    <row r="5989" spans="1:1" x14ac:dyDescent="0.25">
      <c r="A5989" s="19" t="s">
        <v>8540</v>
      </c>
    </row>
    <row r="5990" spans="1:1" x14ac:dyDescent="0.25">
      <c r="A5990" s="19" t="s">
        <v>8541</v>
      </c>
    </row>
    <row r="5991" spans="1:1" x14ac:dyDescent="0.25">
      <c r="A5991" s="19" t="s">
        <v>8542</v>
      </c>
    </row>
    <row r="5992" spans="1:1" x14ac:dyDescent="0.25">
      <c r="A5992" s="19" t="s">
        <v>8543</v>
      </c>
    </row>
    <row r="5993" spans="1:1" x14ac:dyDescent="0.25">
      <c r="A5993" s="19" t="s">
        <v>8544</v>
      </c>
    </row>
    <row r="5994" spans="1:1" x14ac:dyDescent="0.25">
      <c r="A5994" s="19" t="s">
        <v>8545</v>
      </c>
    </row>
    <row r="5995" spans="1:1" x14ac:dyDescent="0.25">
      <c r="A5995" s="19" t="s">
        <v>8546</v>
      </c>
    </row>
    <row r="5996" spans="1:1" x14ac:dyDescent="0.25">
      <c r="A5996" s="19" t="s">
        <v>8547</v>
      </c>
    </row>
    <row r="5997" spans="1:1" x14ac:dyDescent="0.25">
      <c r="A5997" s="19" t="s">
        <v>8548</v>
      </c>
    </row>
    <row r="5998" spans="1:1" x14ac:dyDescent="0.25">
      <c r="A5998" s="19" t="s">
        <v>8549</v>
      </c>
    </row>
    <row r="5999" spans="1:1" x14ac:dyDescent="0.25">
      <c r="A5999" s="19" t="s">
        <v>8550</v>
      </c>
    </row>
    <row r="6000" spans="1:1" x14ac:dyDescent="0.25">
      <c r="A6000" s="19" t="s">
        <v>8551</v>
      </c>
    </row>
    <row r="6001" spans="1:1" x14ac:dyDescent="0.25">
      <c r="A6001" s="19" t="s">
        <v>8552</v>
      </c>
    </row>
    <row r="6002" spans="1:1" x14ac:dyDescent="0.25">
      <c r="A6002" s="19" t="s">
        <v>8553</v>
      </c>
    </row>
    <row r="6003" spans="1:1" x14ac:dyDescent="0.25">
      <c r="A6003" s="19" t="s">
        <v>8554</v>
      </c>
    </row>
    <row r="6004" spans="1:1" x14ac:dyDescent="0.25">
      <c r="A6004" s="19" t="s">
        <v>8555</v>
      </c>
    </row>
    <row r="6005" spans="1:1" x14ac:dyDescent="0.25">
      <c r="A6005" s="19" t="s">
        <v>8556</v>
      </c>
    </row>
    <row r="6006" spans="1:1" x14ac:dyDescent="0.25">
      <c r="A6006" s="19" t="s">
        <v>8557</v>
      </c>
    </row>
    <row r="6007" spans="1:1" x14ac:dyDescent="0.25">
      <c r="A6007" s="19" t="s">
        <v>8558</v>
      </c>
    </row>
    <row r="6008" spans="1:1" x14ac:dyDescent="0.25">
      <c r="A6008" s="19" t="s">
        <v>8559</v>
      </c>
    </row>
    <row r="6009" spans="1:1" x14ac:dyDescent="0.25">
      <c r="A6009" s="19" t="s">
        <v>8560</v>
      </c>
    </row>
    <row r="6010" spans="1:1" x14ac:dyDescent="0.25">
      <c r="A6010" s="19" t="s">
        <v>8561</v>
      </c>
    </row>
    <row r="6011" spans="1:1" x14ac:dyDescent="0.25">
      <c r="A6011" s="19" t="s">
        <v>8562</v>
      </c>
    </row>
    <row r="6012" spans="1:1" x14ac:dyDescent="0.25">
      <c r="A6012" s="19" t="s">
        <v>8563</v>
      </c>
    </row>
    <row r="6013" spans="1:1" x14ac:dyDescent="0.25">
      <c r="A6013" s="19" t="s">
        <v>8564</v>
      </c>
    </row>
    <row r="6014" spans="1:1" x14ac:dyDescent="0.25">
      <c r="A6014" s="19" t="s">
        <v>8565</v>
      </c>
    </row>
    <row r="6015" spans="1:1" x14ac:dyDescent="0.25">
      <c r="A6015" s="19" t="s">
        <v>8566</v>
      </c>
    </row>
    <row r="6016" spans="1:1" x14ac:dyDescent="0.25">
      <c r="A6016" s="19" t="s">
        <v>8567</v>
      </c>
    </row>
    <row r="6017" spans="1:1" x14ac:dyDescent="0.25">
      <c r="A6017" s="19" t="s">
        <v>8568</v>
      </c>
    </row>
    <row r="6018" spans="1:1" x14ac:dyDescent="0.25">
      <c r="A6018" s="19" t="s">
        <v>8569</v>
      </c>
    </row>
    <row r="6019" spans="1:1" x14ac:dyDescent="0.25">
      <c r="A6019" s="19" t="s">
        <v>8570</v>
      </c>
    </row>
    <row r="6020" spans="1:1" x14ac:dyDescent="0.25">
      <c r="A6020" s="19" t="s">
        <v>8571</v>
      </c>
    </row>
    <row r="6021" spans="1:1" x14ac:dyDescent="0.25">
      <c r="A6021" s="19" t="s">
        <v>8572</v>
      </c>
    </row>
    <row r="6022" spans="1:1" x14ac:dyDescent="0.25">
      <c r="A6022" s="19" t="s">
        <v>8573</v>
      </c>
    </row>
    <row r="6023" spans="1:1" x14ac:dyDescent="0.25">
      <c r="A6023" s="19" t="s">
        <v>8574</v>
      </c>
    </row>
    <row r="6024" spans="1:1" x14ac:dyDescent="0.25">
      <c r="A6024" s="19" t="s">
        <v>8575</v>
      </c>
    </row>
    <row r="6025" spans="1:1" x14ac:dyDescent="0.25">
      <c r="A6025" s="19" t="s">
        <v>8576</v>
      </c>
    </row>
    <row r="6026" spans="1:1" x14ac:dyDescent="0.25">
      <c r="A6026" s="19" t="s">
        <v>8577</v>
      </c>
    </row>
    <row r="6027" spans="1:1" x14ac:dyDescent="0.25">
      <c r="A6027" s="19" t="s">
        <v>8578</v>
      </c>
    </row>
    <row r="6028" spans="1:1" x14ac:dyDescent="0.25">
      <c r="A6028" s="19" t="s">
        <v>8579</v>
      </c>
    </row>
    <row r="6029" spans="1:1" x14ac:dyDescent="0.25">
      <c r="A6029" s="19" t="s">
        <v>8580</v>
      </c>
    </row>
    <row r="6030" spans="1:1" x14ac:dyDescent="0.25">
      <c r="A6030" s="19" t="s">
        <v>8581</v>
      </c>
    </row>
    <row r="6031" spans="1:1" x14ac:dyDescent="0.25">
      <c r="A6031" s="19" t="s">
        <v>8582</v>
      </c>
    </row>
    <row r="6032" spans="1:1" x14ac:dyDescent="0.25">
      <c r="A6032" s="19" t="s">
        <v>8583</v>
      </c>
    </row>
    <row r="6033" spans="1:1" x14ac:dyDescent="0.25">
      <c r="A6033" s="19" t="s">
        <v>8584</v>
      </c>
    </row>
    <row r="6034" spans="1:1" x14ac:dyDescent="0.25">
      <c r="A6034" s="19" t="s">
        <v>8585</v>
      </c>
    </row>
    <row r="6035" spans="1:1" x14ac:dyDescent="0.25">
      <c r="A6035" s="19" t="s">
        <v>8586</v>
      </c>
    </row>
    <row r="6036" spans="1:1" x14ac:dyDescent="0.25">
      <c r="A6036" s="19" t="s">
        <v>8587</v>
      </c>
    </row>
    <row r="6037" spans="1:1" x14ac:dyDescent="0.25">
      <c r="A6037" s="19" t="s">
        <v>8588</v>
      </c>
    </row>
    <row r="6038" spans="1:1" x14ac:dyDescent="0.25">
      <c r="A6038" s="19" t="s">
        <v>8589</v>
      </c>
    </row>
    <row r="6039" spans="1:1" x14ac:dyDescent="0.25">
      <c r="A6039" s="19" t="s">
        <v>8590</v>
      </c>
    </row>
    <row r="6040" spans="1:1" x14ac:dyDescent="0.25">
      <c r="A6040" s="19" t="s">
        <v>8591</v>
      </c>
    </row>
    <row r="6041" spans="1:1" x14ac:dyDescent="0.25">
      <c r="A6041" s="19" t="s">
        <v>8592</v>
      </c>
    </row>
    <row r="6042" spans="1:1" x14ac:dyDescent="0.25">
      <c r="A6042" s="19" t="s">
        <v>8593</v>
      </c>
    </row>
    <row r="6043" spans="1:1" x14ac:dyDescent="0.25">
      <c r="A6043" s="19" t="s">
        <v>8594</v>
      </c>
    </row>
    <row r="6044" spans="1:1" x14ac:dyDescent="0.25">
      <c r="A6044" s="19" t="s">
        <v>8595</v>
      </c>
    </row>
    <row r="6045" spans="1:1" x14ac:dyDescent="0.25">
      <c r="A6045" s="19" t="s">
        <v>8596</v>
      </c>
    </row>
    <row r="6046" spans="1:1" x14ac:dyDescent="0.25">
      <c r="A6046" s="19" t="s">
        <v>8597</v>
      </c>
    </row>
    <row r="6047" spans="1:1" x14ac:dyDescent="0.25">
      <c r="A6047" s="19" t="s">
        <v>8598</v>
      </c>
    </row>
    <row r="6048" spans="1:1" x14ac:dyDescent="0.25">
      <c r="A6048" s="19" t="s">
        <v>8599</v>
      </c>
    </row>
    <row r="6049" spans="1:1" x14ac:dyDescent="0.25">
      <c r="A6049" s="19" t="s">
        <v>8600</v>
      </c>
    </row>
    <row r="6050" spans="1:1" x14ac:dyDescent="0.25">
      <c r="A6050" s="19" t="s">
        <v>8601</v>
      </c>
    </row>
    <row r="6051" spans="1:1" x14ac:dyDescent="0.25">
      <c r="A6051" s="19" t="s">
        <v>8602</v>
      </c>
    </row>
    <row r="6052" spans="1:1" x14ac:dyDescent="0.25">
      <c r="A6052" s="19" t="s">
        <v>8603</v>
      </c>
    </row>
    <row r="6053" spans="1:1" x14ac:dyDescent="0.25">
      <c r="A6053" s="19" t="s">
        <v>8604</v>
      </c>
    </row>
    <row r="6054" spans="1:1" x14ac:dyDescent="0.25">
      <c r="A6054" s="19" t="s">
        <v>8605</v>
      </c>
    </row>
    <row r="6055" spans="1:1" x14ac:dyDescent="0.25">
      <c r="A6055" s="19" t="s">
        <v>8606</v>
      </c>
    </row>
    <row r="6056" spans="1:1" x14ac:dyDescent="0.25">
      <c r="A6056" s="19" t="s">
        <v>8607</v>
      </c>
    </row>
    <row r="6057" spans="1:1" x14ac:dyDescent="0.25">
      <c r="A6057" s="19" t="s">
        <v>8608</v>
      </c>
    </row>
    <row r="6058" spans="1:1" x14ac:dyDescent="0.25">
      <c r="A6058" s="19" t="s">
        <v>8609</v>
      </c>
    </row>
    <row r="6059" spans="1:1" x14ac:dyDescent="0.25">
      <c r="A6059" s="19" t="s">
        <v>8610</v>
      </c>
    </row>
    <row r="6060" spans="1:1" x14ac:dyDescent="0.25">
      <c r="A6060" s="19" t="s">
        <v>8611</v>
      </c>
    </row>
    <row r="6061" spans="1:1" x14ac:dyDescent="0.25">
      <c r="A6061" s="19" t="s">
        <v>8612</v>
      </c>
    </row>
    <row r="6062" spans="1:1" x14ac:dyDescent="0.25">
      <c r="A6062" s="19" t="s">
        <v>8613</v>
      </c>
    </row>
    <row r="6063" spans="1:1" x14ac:dyDescent="0.25">
      <c r="A6063" s="19" t="s">
        <v>8614</v>
      </c>
    </row>
    <row r="6064" spans="1:1" x14ac:dyDescent="0.25">
      <c r="A6064" s="19" t="s">
        <v>8615</v>
      </c>
    </row>
    <row r="6065" spans="1:1" x14ac:dyDescent="0.25">
      <c r="A6065" s="19" t="s">
        <v>8616</v>
      </c>
    </row>
    <row r="6066" spans="1:1" x14ac:dyDescent="0.25">
      <c r="A6066" s="19" t="s">
        <v>8617</v>
      </c>
    </row>
    <row r="6067" spans="1:1" x14ac:dyDescent="0.25">
      <c r="A6067" s="19" t="s">
        <v>8618</v>
      </c>
    </row>
    <row r="6068" spans="1:1" x14ac:dyDescent="0.25">
      <c r="A6068" s="19" t="s">
        <v>8619</v>
      </c>
    </row>
    <row r="6069" spans="1:1" x14ac:dyDescent="0.25">
      <c r="A6069" s="19" t="s">
        <v>8619</v>
      </c>
    </row>
    <row r="6070" spans="1:1" x14ac:dyDescent="0.25">
      <c r="A6070" s="19" t="s">
        <v>8620</v>
      </c>
    </row>
    <row r="6071" spans="1:1" x14ac:dyDescent="0.25">
      <c r="A6071" s="19" t="s">
        <v>8621</v>
      </c>
    </row>
    <row r="6072" spans="1:1" x14ac:dyDescent="0.25">
      <c r="A6072" s="19" t="s">
        <v>8622</v>
      </c>
    </row>
    <row r="6073" spans="1:1" x14ac:dyDescent="0.25">
      <c r="A6073" s="19" t="s">
        <v>8623</v>
      </c>
    </row>
    <row r="6074" spans="1:1" x14ac:dyDescent="0.25">
      <c r="A6074" s="19" t="s">
        <v>8624</v>
      </c>
    </row>
    <row r="6075" spans="1:1" x14ac:dyDescent="0.25">
      <c r="A6075" s="19" t="s">
        <v>8625</v>
      </c>
    </row>
    <row r="6076" spans="1:1" x14ac:dyDescent="0.25">
      <c r="A6076" s="19" t="s">
        <v>8626</v>
      </c>
    </row>
    <row r="6077" spans="1:1" x14ac:dyDescent="0.25">
      <c r="A6077" s="19" t="s">
        <v>8627</v>
      </c>
    </row>
    <row r="6078" spans="1:1" x14ac:dyDescent="0.25">
      <c r="A6078" s="19" t="s">
        <v>8628</v>
      </c>
    </row>
    <row r="6079" spans="1:1" x14ac:dyDescent="0.25">
      <c r="A6079" s="19" t="s">
        <v>8629</v>
      </c>
    </row>
    <row r="6080" spans="1:1" x14ac:dyDescent="0.25">
      <c r="A6080" s="19" t="s">
        <v>8630</v>
      </c>
    </row>
    <row r="6081" spans="1:1" x14ac:dyDescent="0.25">
      <c r="A6081" s="19" t="s">
        <v>8631</v>
      </c>
    </row>
    <row r="6082" spans="1:1" x14ac:dyDescent="0.25">
      <c r="A6082" s="19" t="s">
        <v>8632</v>
      </c>
    </row>
    <row r="6083" spans="1:1" x14ac:dyDescent="0.25">
      <c r="A6083" s="19" t="s">
        <v>8633</v>
      </c>
    </row>
    <row r="6084" spans="1:1" x14ac:dyDescent="0.25">
      <c r="A6084" s="19" t="s">
        <v>8634</v>
      </c>
    </row>
    <row r="6085" spans="1:1" x14ac:dyDescent="0.25">
      <c r="A6085" s="19" t="s">
        <v>8635</v>
      </c>
    </row>
    <row r="6086" spans="1:1" x14ac:dyDescent="0.25">
      <c r="A6086" s="19" t="s">
        <v>8636</v>
      </c>
    </row>
    <row r="6087" spans="1:1" x14ac:dyDescent="0.25">
      <c r="A6087" s="19" t="s">
        <v>8637</v>
      </c>
    </row>
    <row r="6088" spans="1:1" x14ac:dyDescent="0.25">
      <c r="A6088" s="19" t="s">
        <v>8638</v>
      </c>
    </row>
    <row r="6089" spans="1:1" x14ac:dyDescent="0.25">
      <c r="A6089" s="19" t="s">
        <v>8639</v>
      </c>
    </row>
    <row r="6090" spans="1:1" x14ac:dyDescent="0.25">
      <c r="A6090" s="19" t="s">
        <v>8640</v>
      </c>
    </row>
    <row r="6091" spans="1:1" x14ac:dyDescent="0.25">
      <c r="A6091" s="19" t="s">
        <v>8641</v>
      </c>
    </row>
    <row r="6092" spans="1:1" x14ac:dyDescent="0.25">
      <c r="A6092" s="19" t="s">
        <v>8642</v>
      </c>
    </row>
    <row r="6093" spans="1:1" x14ac:dyDescent="0.25">
      <c r="A6093" s="19" t="s">
        <v>8643</v>
      </c>
    </row>
    <row r="6094" spans="1:1" x14ac:dyDescent="0.25">
      <c r="A6094" s="19" t="s">
        <v>8644</v>
      </c>
    </row>
    <row r="6095" spans="1:1" x14ac:dyDescent="0.25">
      <c r="A6095" s="19" t="s">
        <v>8645</v>
      </c>
    </row>
    <row r="6096" spans="1:1" x14ac:dyDescent="0.25">
      <c r="A6096" s="19" t="s">
        <v>8646</v>
      </c>
    </row>
    <row r="6097" spans="1:1" x14ac:dyDescent="0.25">
      <c r="A6097" s="19" t="s">
        <v>8647</v>
      </c>
    </row>
    <row r="6098" spans="1:1" x14ac:dyDescent="0.25">
      <c r="A6098" s="19" t="s">
        <v>8648</v>
      </c>
    </row>
    <row r="6099" spans="1:1" x14ac:dyDescent="0.25">
      <c r="A6099" s="19" t="s">
        <v>8649</v>
      </c>
    </row>
    <row r="6100" spans="1:1" x14ac:dyDescent="0.25">
      <c r="A6100" s="19" t="s">
        <v>8650</v>
      </c>
    </row>
    <row r="6101" spans="1:1" x14ac:dyDescent="0.25">
      <c r="A6101" s="19" t="s">
        <v>8651</v>
      </c>
    </row>
    <row r="6102" spans="1:1" x14ac:dyDescent="0.25">
      <c r="A6102" s="19" t="s">
        <v>8652</v>
      </c>
    </row>
    <row r="6103" spans="1:1" x14ac:dyDescent="0.25">
      <c r="A6103" s="19" t="s">
        <v>8653</v>
      </c>
    </row>
    <row r="6104" spans="1:1" x14ac:dyDescent="0.25">
      <c r="A6104" s="19" t="s">
        <v>8654</v>
      </c>
    </row>
    <row r="6105" spans="1:1" x14ac:dyDescent="0.25">
      <c r="A6105" s="19" t="s">
        <v>8655</v>
      </c>
    </row>
    <row r="6106" spans="1:1" x14ac:dyDescent="0.25">
      <c r="A6106" s="19" t="s">
        <v>8655</v>
      </c>
    </row>
    <row r="6107" spans="1:1" x14ac:dyDescent="0.25">
      <c r="A6107" s="19" t="s">
        <v>8655</v>
      </c>
    </row>
    <row r="6108" spans="1:1" x14ac:dyDescent="0.25">
      <c r="A6108" s="19" t="s">
        <v>8656</v>
      </c>
    </row>
    <row r="6109" spans="1:1" x14ac:dyDescent="0.25">
      <c r="A6109" s="19" t="s">
        <v>8657</v>
      </c>
    </row>
    <row r="6110" spans="1:1" x14ac:dyDescent="0.25">
      <c r="A6110" s="19" t="s">
        <v>8658</v>
      </c>
    </row>
    <row r="6111" spans="1:1" x14ac:dyDescent="0.25">
      <c r="A6111" s="19" t="s">
        <v>8659</v>
      </c>
    </row>
    <row r="6112" spans="1:1" x14ac:dyDescent="0.25">
      <c r="A6112" s="19" t="s">
        <v>8660</v>
      </c>
    </row>
    <row r="6113" spans="1:1" x14ac:dyDescent="0.25">
      <c r="A6113" s="19" t="s">
        <v>8661</v>
      </c>
    </row>
    <row r="6114" spans="1:1" x14ac:dyDescent="0.25">
      <c r="A6114" s="19" t="s">
        <v>8662</v>
      </c>
    </row>
    <row r="6115" spans="1:1" x14ac:dyDescent="0.25">
      <c r="A6115" s="19" t="s">
        <v>8663</v>
      </c>
    </row>
    <row r="6116" spans="1:1" x14ac:dyDescent="0.25">
      <c r="A6116" s="19" t="s">
        <v>8663</v>
      </c>
    </row>
    <row r="6117" spans="1:1" x14ac:dyDescent="0.25">
      <c r="A6117" s="19" t="s">
        <v>8663</v>
      </c>
    </row>
    <row r="6118" spans="1:1" x14ac:dyDescent="0.25">
      <c r="A6118" s="19" t="s">
        <v>8664</v>
      </c>
    </row>
    <row r="6119" spans="1:1" x14ac:dyDescent="0.25">
      <c r="A6119" s="19" t="s">
        <v>8665</v>
      </c>
    </row>
    <row r="6120" spans="1:1" x14ac:dyDescent="0.25">
      <c r="A6120" s="19" t="s">
        <v>8666</v>
      </c>
    </row>
    <row r="6121" spans="1:1" x14ac:dyDescent="0.25">
      <c r="A6121" s="19" t="s">
        <v>8667</v>
      </c>
    </row>
    <row r="6122" spans="1:1" x14ac:dyDescent="0.25">
      <c r="A6122" s="19" t="s">
        <v>8668</v>
      </c>
    </row>
    <row r="6123" spans="1:1" x14ac:dyDescent="0.25">
      <c r="A6123" s="19" t="s">
        <v>8669</v>
      </c>
    </row>
    <row r="6124" spans="1:1" x14ac:dyDescent="0.25">
      <c r="A6124" s="19" t="s">
        <v>8670</v>
      </c>
    </row>
    <row r="6125" spans="1:1" x14ac:dyDescent="0.25">
      <c r="A6125" s="19" t="s">
        <v>8671</v>
      </c>
    </row>
    <row r="6126" spans="1:1" x14ac:dyDescent="0.25">
      <c r="A6126" s="19" t="s">
        <v>8672</v>
      </c>
    </row>
    <row r="6127" spans="1:1" x14ac:dyDescent="0.25">
      <c r="A6127" s="19" t="s">
        <v>8673</v>
      </c>
    </row>
    <row r="6128" spans="1:1" x14ac:dyDescent="0.25">
      <c r="A6128" s="19" t="s">
        <v>8674</v>
      </c>
    </row>
    <row r="6129" spans="1:1" x14ac:dyDescent="0.25">
      <c r="A6129" s="19" t="s">
        <v>8675</v>
      </c>
    </row>
    <row r="6130" spans="1:1" x14ac:dyDescent="0.25">
      <c r="A6130" s="19" t="s">
        <v>8676</v>
      </c>
    </row>
    <row r="6131" spans="1:1" x14ac:dyDescent="0.25">
      <c r="A6131" s="19" t="s">
        <v>8677</v>
      </c>
    </row>
    <row r="6132" spans="1:1" x14ac:dyDescent="0.25">
      <c r="A6132" s="19" t="s">
        <v>8678</v>
      </c>
    </row>
    <row r="6133" spans="1:1" x14ac:dyDescent="0.25">
      <c r="A6133" s="19" t="s">
        <v>8679</v>
      </c>
    </row>
    <row r="6134" spans="1:1" x14ac:dyDescent="0.25">
      <c r="A6134" s="19" t="s">
        <v>8680</v>
      </c>
    </row>
    <row r="6135" spans="1:1" x14ac:dyDescent="0.25">
      <c r="A6135" s="19" t="s">
        <v>8681</v>
      </c>
    </row>
    <row r="6136" spans="1:1" x14ac:dyDescent="0.25">
      <c r="A6136" s="19" t="s">
        <v>8682</v>
      </c>
    </row>
    <row r="6137" spans="1:1" x14ac:dyDescent="0.25">
      <c r="A6137" s="19" t="s">
        <v>8683</v>
      </c>
    </row>
    <row r="6138" spans="1:1" x14ac:dyDescent="0.25">
      <c r="A6138" s="19" t="s">
        <v>8684</v>
      </c>
    </row>
    <row r="6139" spans="1:1" x14ac:dyDescent="0.25">
      <c r="A6139" s="19" t="s">
        <v>8685</v>
      </c>
    </row>
    <row r="6140" spans="1:1" x14ac:dyDescent="0.25">
      <c r="A6140" s="19" t="s">
        <v>8686</v>
      </c>
    </row>
    <row r="6141" spans="1:1" x14ac:dyDescent="0.25">
      <c r="A6141" s="19" t="s">
        <v>8687</v>
      </c>
    </row>
    <row r="6142" spans="1:1" x14ac:dyDescent="0.25">
      <c r="A6142" s="19" t="s">
        <v>8688</v>
      </c>
    </row>
    <row r="6143" spans="1:1" x14ac:dyDescent="0.25">
      <c r="A6143" s="19" t="s">
        <v>8689</v>
      </c>
    </row>
    <row r="6144" spans="1:1" x14ac:dyDescent="0.25">
      <c r="A6144" s="19" t="s">
        <v>8690</v>
      </c>
    </row>
    <row r="6145" spans="1:1" x14ac:dyDescent="0.25">
      <c r="A6145" s="19" t="s">
        <v>8691</v>
      </c>
    </row>
    <row r="6146" spans="1:1" x14ac:dyDescent="0.25">
      <c r="A6146" s="19" t="s">
        <v>8692</v>
      </c>
    </row>
    <row r="6147" spans="1:1" x14ac:dyDescent="0.25">
      <c r="A6147" s="19" t="s">
        <v>8693</v>
      </c>
    </row>
    <row r="6148" spans="1:1" x14ac:dyDescent="0.25">
      <c r="A6148" s="19" t="s">
        <v>8694</v>
      </c>
    </row>
    <row r="6149" spans="1:1" x14ac:dyDescent="0.25">
      <c r="A6149" s="19" t="s">
        <v>8695</v>
      </c>
    </row>
    <row r="6150" spans="1:1" x14ac:dyDescent="0.25">
      <c r="A6150" s="19" t="s">
        <v>8696</v>
      </c>
    </row>
    <row r="6151" spans="1:1" x14ac:dyDescent="0.25">
      <c r="A6151" s="19" t="s">
        <v>8697</v>
      </c>
    </row>
    <row r="6152" spans="1:1" x14ac:dyDescent="0.25">
      <c r="A6152" s="19" t="s">
        <v>8698</v>
      </c>
    </row>
    <row r="6153" spans="1:1" x14ac:dyDescent="0.25">
      <c r="A6153" s="19" t="s">
        <v>8699</v>
      </c>
    </row>
    <row r="6154" spans="1:1" x14ac:dyDescent="0.25">
      <c r="A6154" s="19" t="s">
        <v>8700</v>
      </c>
    </row>
    <row r="6155" spans="1:1" x14ac:dyDescent="0.25">
      <c r="A6155" s="19" t="s">
        <v>8701</v>
      </c>
    </row>
    <row r="6156" spans="1:1" x14ac:dyDescent="0.25">
      <c r="A6156" s="19" t="s">
        <v>8702</v>
      </c>
    </row>
    <row r="6157" spans="1:1" x14ac:dyDescent="0.25">
      <c r="A6157" s="19" t="s">
        <v>8703</v>
      </c>
    </row>
    <row r="6158" spans="1:1" x14ac:dyDescent="0.25">
      <c r="A6158" s="19" t="s">
        <v>8704</v>
      </c>
    </row>
    <row r="6159" spans="1:1" x14ac:dyDescent="0.25">
      <c r="A6159" s="19" t="s">
        <v>8705</v>
      </c>
    </row>
    <row r="6160" spans="1:1" x14ac:dyDescent="0.25">
      <c r="A6160" s="19" t="s">
        <v>8706</v>
      </c>
    </row>
    <row r="6161" spans="1:1" x14ac:dyDescent="0.25">
      <c r="A6161" s="19" t="s">
        <v>8707</v>
      </c>
    </row>
    <row r="6162" spans="1:1" x14ac:dyDescent="0.25">
      <c r="A6162" s="19" t="s">
        <v>8708</v>
      </c>
    </row>
    <row r="6163" spans="1:1" x14ac:dyDescent="0.25">
      <c r="A6163" s="19" t="s">
        <v>8709</v>
      </c>
    </row>
    <row r="6164" spans="1:1" x14ac:dyDescent="0.25">
      <c r="A6164" s="19" t="s">
        <v>8710</v>
      </c>
    </row>
    <row r="6165" spans="1:1" x14ac:dyDescent="0.25">
      <c r="A6165" s="19" t="s">
        <v>8711</v>
      </c>
    </row>
    <row r="6166" spans="1:1" x14ac:dyDescent="0.25">
      <c r="A6166" s="19" t="s">
        <v>8712</v>
      </c>
    </row>
    <row r="6167" spans="1:1" x14ac:dyDescent="0.25">
      <c r="A6167" s="19" t="s">
        <v>8713</v>
      </c>
    </row>
    <row r="6168" spans="1:1" x14ac:dyDescent="0.25">
      <c r="A6168" s="19" t="s">
        <v>8714</v>
      </c>
    </row>
    <row r="6169" spans="1:1" x14ac:dyDescent="0.25">
      <c r="A6169" s="19" t="s">
        <v>8715</v>
      </c>
    </row>
    <row r="6170" spans="1:1" x14ac:dyDescent="0.25">
      <c r="A6170" s="19" t="s">
        <v>8716</v>
      </c>
    </row>
    <row r="6171" spans="1:1" x14ac:dyDescent="0.25">
      <c r="A6171" s="19" t="s">
        <v>8717</v>
      </c>
    </row>
    <row r="6172" spans="1:1" x14ac:dyDescent="0.25">
      <c r="A6172" s="19" t="s">
        <v>8718</v>
      </c>
    </row>
    <row r="6173" spans="1:1" x14ac:dyDescent="0.25">
      <c r="A6173" s="19" t="s">
        <v>8719</v>
      </c>
    </row>
    <row r="6174" spans="1:1" x14ac:dyDescent="0.25">
      <c r="A6174" s="19" t="s">
        <v>8720</v>
      </c>
    </row>
    <row r="6175" spans="1:1" x14ac:dyDescent="0.25">
      <c r="A6175" s="19" t="s">
        <v>8721</v>
      </c>
    </row>
    <row r="6176" spans="1:1" x14ac:dyDescent="0.25">
      <c r="A6176" s="19" t="s">
        <v>8722</v>
      </c>
    </row>
    <row r="6177" spans="1:1" x14ac:dyDescent="0.25">
      <c r="A6177" s="19" t="s">
        <v>8723</v>
      </c>
    </row>
    <row r="6178" spans="1:1" x14ac:dyDescent="0.25">
      <c r="A6178" s="19" t="s">
        <v>8724</v>
      </c>
    </row>
    <row r="6179" spans="1:1" x14ac:dyDescent="0.25">
      <c r="A6179" s="19" t="s">
        <v>8725</v>
      </c>
    </row>
    <row r="6180" spans="1:1" x14ac:dyDescent="0.25">
      <c r="A6180" s="19" t="s">
        <v>8726</v>
      </c>
    </row>
    <row r="6181" spans="1:1" x14ac:dyDescent="0.25">
      <c r="A6181" s="19" t="s">
        <v>8727</v>
      </c>
    </row>
    <row r="6182" spans="1:1" x14ac:dyDescent="0.25">
      <c r="A6182" s="19" t="s">
        <v>8728</v>
      </c>
    </row>
    <row r="6183" spans="1:1" x14ac:dyDescent="0.25">
      <c r="A6183" s="19" t="s">
        <v>8729</v>
      </c>
    </row>
    <row r="6184" spans="1:1" x14ac:dyDescent="0.25">
      <c r="A6184" s="19" t="s">
        <v>8730</v>
      </c>
    </row>
    <row r="6185" spans="1:1" x14ac:dyDescent="0.25">
      <c r="A6185" s="19" t="s">
        <v>8731</v>
      </c>
    </row>
    <row r="6186" spans="1:1" x14ac:dyDescent="0.25">
      <c r="A6186" s="19" t="s">
        <v>8732</v>
      </c>
    </row>
    <row r="6187" spans="1:1" x14ac:dyDescent="0.25">
      <c r="A6187" s="19" t="s">
        <v>8733</v>
      </c>
    </row>
    <row r="6188" spans="1:1" x14ac:dyDescent="0.25">
      <c r="A6188" s="19" t="s">
        <v>8734</v>
      </c>
    </row>
    <row r="6189" spans="1:1" x14ac:dyDescent="0.25">
      <c r="A6189" s="19" t="s">
        <v>8735</v>
      </c>
    </row>
    <row r="6190" spans="1:1" x14ac:dyDescent="0.25">
      <c r="A6190" s="19" t="s">
        <v>8736</v>
      </c>
    </row>
    <row r="6191" spans="1:1" x14ac:dyDescent="0.25">
      <c r="A6191" s="19" t="s">
        <v>8737</v>
      </c>
    </row>
    <row r="6192" spans="1:1" x14ac:dyDescent="0.25">
      <c r="A6192" s="19" t="s">
        <v>8738</v>
      </c>
    </row>
    <row r="6193" spans="1:1" x14ac:dyDescent="0.25">
      <c r="A6193" s="19" t="s">
        <v>8739</v>
      </c>
    </row>
    <row r="6194" spans="1:1" x14ac:dyDescent="0.25">
      <c r="A6194" s="19" t="s">
        <v>8740</v>
      </c>
    </row>
    <row r="6195" spans="1:1" x14ac:dyDescent="0.25">
      <c r="A6195" s="19" t="s">
        <v>8741</v>
      </c>
    </row>
    <row r="6196" spans="1:1" x14ac:dyDescent="0.25">
      <c r="A6196" s="19" t="s">
        <v>8742</v>
      </c>
    </row>
    <row r="6197" spans="1:1" x14ac:dyDescent="0.25">
      <c r="A6197" s="19" t="s">
        <v>8743</v>
      </c>
    </row>
    <row r="6198" spans="1:1" x14ac:dyDescent="0.25">
      <c r="A6198" s="19" t="s">
        <v>8744</v>
      </c>
    </row>
    <row r="6199" spans="1:1" x14ac:dyDescent="0.25">
      <c r="A6199" s="19" t="s">
        <v>8745</v>
      </c>
    </row>
    <row r="6200" spans="1:1" x14ac:dyDescent="0.25">
      <c r="A6200" s="19" t="s">
        <v>8746</v>
      </c>
    </row>
    <row r="6201" spans="1:1" x14ac:dyDescent="0.25">
      <c r="A6201" s="19" t="s">
        <v>8747</v>
      </c>
    </row>
    <row r="6202" spans="1:1" x14ac:dyDescent="0.25">
      <c r="A6202" s="19" t="s">
        <v>8748</v>
      </c>
    </row>
    <row r="6203" spans="1:1" x14ac:dyDescent="0.25">
      <c r="A6203" s="19" t="s">
        <v>8749</v>
      </c>
    </row>
    <row r="6204" spans="1:1" x14ac:dyDescent="0.25">
      <c r="A6204" s="19" t="s">
        <v>8750</v>
      </c>
    </row>
    <row r="6205" spans="1:1" x14ac:dyDescent="0.25">
      <c r="A6205" s="19" t="s">
        <v>8751</v>
      </c>
    </row>
    <row r="6206" spans="1:1" x14ac:dyDescent="0.25">
      <c r="A6206" s="19" t="s">
        <v>8752</v>
      </c>
    </row>
    <row r="6207" spans="1:1" x14ac:dyDescent="0.25">
      <c r="A6207" s="19" t="s">
        <v>8753</v>
      </c>
    </row>
    <row r="6208" spans="1:1" x14ac:dyDescent="0.25">
      <c r="A6208" s="19" t="s">
        <v>8754</v>
      </c>
    </row>
    <row r="6209" spans="1:1" x14ac:dyDescent="0.25">
      <c r="A6209" s="19" t="s">
        <v>8755</v>
      </c>
    </row>
    <row r="6210" spans="1:1" x14ac:dyDescent="0.25">
      <c r="A6210" s="19" t="s">
        <v>8756</v>
      </c>
    </row>
    <row r="6211" spans="1:1" x14ac:dyDescent="0.25">
      <c r="A6211" s="19" t="s">
        <v>8757</v>
      </c>
    </row>
    <row r="6212" spans="1:1" x14ac:dyDescent="0.25">
      <c r="A6212" s="19" t="s">
        <v>8758</v>
      </c>
    </row>
    <row r="6213" spans="1:1" x14ac:dyDescent="0.25">
      <c r="A6213" s="19" t="s">
        <v>8759</v>
      </c>
    </row>
    <row r="6214" spans="1:1" x14ac:dyDescent="0.25">
      <c r="A6214" s="19" t="s">
        <v>8760</v>
      </c>
    </row>
    <row r="6215" spans="1:1" x14ac:dyDescent="0.25">
      <c r="A6215" s="19" t="s">
        <v>8761</v>
      </c>
    </row>
    <row r="6216" spans="1:1" x14ac:dyDescent="0.25">
      <c r="A6216" s="19" t="s">
        <v>8762</v>
      </c>
    </row>
    <row r="6217" spans="1:1" x14ac:dyDescent="0.25">
      <c r="A6217" s="19" t="s">
        <v>8763</v>
      </c>
    </row>
    <row r="6218" spans="1:1" x14ac:dyDescent="0.25">
      <c r="A6218" s="19" t="s">
        <v>8764</v>
      </c>
    </row>
    <row r="6219" spans="1:1" x14ac:dyDescent="0.25">
      <c r="A6219" s="19" t="s">
        <v>8765</v>
      </c>
    </row>
    <row r="6220" spans="1:1" x14ac:dyDescent="0.25">
      <c r="A6220" s="19" t="s">
        <v>8766</v>
      </c>
    </row>
    <row r="6221" spans="1:1" x14ac:dyDescent="0.25">
      <c r="A6221" s="19" t="s">
        <v>8767</v>
      </c>
    </row>
    <row r="6222" spans="1:1" x14ac:dyDescent="0.25">
      <c r="A6222" s="19" t="s">
        <v>8768</v>
      </c>
    </row>
    <row r="6223" spans="1:1" x14ac:dyDescent="0.25">
      <c r="A6223" s="19" t="s">
        <v>8769</v>
      </c>
    </row>
    <row r="6224" spans="1:1" x14ac:dyDescent="0.25">
      <c r="A6224" s="19" t="s">
        <v>8770</v>
      </c>
    </row>
    <row r="6225" spans="1:1" x14ac:dyDescent="0.25">
      <c r="A6225" s="19" t="s">
        <v>8771</v>
      </c>
    </row>
    <row r="6226" spans="1:1" x14ac:dyDescent="0.25">
      <c r="A6226" s="19" t="s">
        <v>8772</v>
      </c>
    </row>
    <row r="6227" spans="1:1" x14ac:dyDescent="0.25">
      <c r="A6227" s="19" t="s">
        <v>8773</v>
      </c>
    </row>
    <row r="6228" spans="1:1" x14ac:dyDescent="0.25">
      <c r="A6228" s="19" t="s">
        <v>8774</v>
      </c>
    </row>
    <row r="6229" spans="1:1" x14ac:dyDescent="0.25">
      <c r="A6229" s="19" t="s">
        <v>8775</v>
      </c>
    </row>
    <row r="6230" spans="1:1" x14ac:dyDescent="0.25">
      <c r="A6230" s="19" t="s">
        <v>8776</v>
      </c>
    </row>
    <row r="6231" spans="1:1" x14ac:dyDescent="0.25">
      <c r="A6231" s="19" t="s">
        <v>8777</v>
      </c>
    </row>
    <row r="6232" spans="1:1" x14ac:dyDescent="0.25">
      <c r="A6232" s="19" t="s">
        <v>8778</v>
      </c>
    </row>
    <row r="6233" spans="1:1" x14ac:dyDescent="0.25">
      <c r="A6233" s="19" t="s">
        <v>8779</v>
      </c>
    </row>
    <row r="6234" spans="1:1" x14ac:dyDescent="0.25">
      <c r="A6234" s="19" t="s">
        <v>8780</v>
      </c>
    </row>
    <row r="6235" spans="1:1" x14ac:dyDescent="0.25">
      <c r="A6235" s="19" t="s">
        <v>8781</v>
      </c>
    </row>
    <row r="6236" spans="1:1" x14ac:dyDescent="0.25">
      <c r="A6236" s="19" t="s">
        <v>8782</v>
      </c>
    </row>
    <row r="6237" spans="1:1" x14ac:dyDescent="0.25">
      <c r="A6237" s="19" t="s">
        <v>8783</v>
      </c>
    </row>
    <row r="6238" spans="1:1" x14ac:dyDescent="0.25">
      <c r="A6238" s="19" t="s">
        <v>8784</v>
      </c>
    </row>
    <row r="6239" spans="1:1" x14ac:dyDescent="0.25">
      <c r="A6239" s="19" t="s">
        <v>8785</v>
      </c>
    </row>
    <row r="6240" spans="1:1" x14ac:dyDescent="0.25">
      <c r="A6240" s="19" t="s">
        <v>8786</v>
      </c>
    </row>
    <row r="6241" spans="1:1" x14ac:dyDescent="0.25">
      <c r="A6241" s="19" t="s">
        <v>8787</v>
      </c>
    </row>
    <row r="6242" spans="1:1" x14ac:dyDescent="0.25">
      <c r="A6242" s="19" t="s">
        <v>8788</v>
      </c>
    </row>
    <row r="6243" spans="1:1" x14ac:dyDescent="0.25">
      <c r="A6243" s="19" t="s">
        <v>8789</v>
      </c>
    </row>
    <row r="6244" spans="1:1" x14ac:dyDescent="0.25">
      <c r="A6244" s="19" t="s">
        <v>8790</v>
      </c>
    </row>
    <row r="6245" spans="1:1" x14ac:dyDescent="0.25">
      <c r="A6245" s="19" t="s">
        <v>8791</v>
      </c>
    </row>
    <row r="6246" spans="1:1" x14ac:dyDescent="0.25">
      <c r="A6246" s="19" t="s">
        <v>8792</v>
      </c>
    </row>
    <row r="6247" spans="1:1" x14ac:dyDescent="0.25">
      <c r="A6247" s="19" t="s">
        <v>8793</v>
      </c>
    </row>
    <row r="6248" spans="1:1" x14ac:dyDescent="0.25">
      <c r="A6248" s="19" t="s">
        <v>8794</v>
      </c>
    </row>
    <row r="6249" spans="1:1" x14ac:dyDescent="0.25">
      <c r="A6249" s="19" t="s">
        <v>8795</v>
      </c>
    </row>
    <row r="6250" spans="1:1" x14ac:dyDescent="0.25">
      <c r="A6250" s="19" t="s">
        <v>8796</v>
      </c>
    </row>
    <row r="6251" spans="1:1" x14ac:dyDescent="0.25">
      <c r="A6251" s="19" t="s">
        <v>8797</v>
      </c>
    </row>
    <row r="6252" spans="1:1" x14ac:dyDescent="0.25">
      <c r="A6252" s="19" t="s">
        <v>8798</v>
      </c>
    </row>
    <row r="6253" spans="1:1" x14ac:dyDescent="0.25">
      <c r="A6253" s="19" t="s">
        <v>8799</v>
      </c>
    </row>
    <row r="6254" spans="1:1" x14ac:dyDescent="0.25">
      <c r="A6254" s="19" t="s">
        <v>8800</v>
      </c>
    </row>
    <row r="6255" spans="1:1" x14ac:dyDescent="0.25">
      <c r="A6255" s="19" t="s">
        <v>8801</v>
      </c>
    </row>
    <row r="6256" spans="1:1" x14ac:dyDescent="0.25">
      <c r="A6256" s="19" t="s">
        <v>8802</v>
      </c>
    </row>
    <row r="6257" spans="1:1" x14ac:dyDescent="0.25">
      <c r="A6257" s="19" t="s">
        <v>8803</v>
      </c>
    </row>
    <row r="6258" spans="1:1" x14ac:dyDescent="0.25">
      <c r="A6258" s="19" t="s">
        <v>8804</v>
      </c>
    </row>
    <row r="6259" spans="1:1" x14ac:dyDescent="0.25">
      <c r="A6259" s="19" t="s">
        <v>8805</v>
      </c>
    </row>
    <row r="6260" spans="1:1" x14ac:dyDescent="0.25">
      <c r="A6260" s="19" t="s">
        <v>8806</v>
      </c>
    </row>
    <row r="6261" spans="1:1" x14ac:dyDescent="0.25">
      <c r="A6261" s="19" t="s">
        <v>8807</v>
      </c>
    </row>
    <row r="6262" spans="1:1" x14ac:dyDescent="0.25">
      <c r="A6262" s="19" t="s">
        <v>8808</v>
      </c>
    </row>
    <row r="6263" spans="1:1" x14ac:dyDescent="0.25">
      <c r="A6263" s="19" t="s">
        <v>8809</v>
      </c>
    </row>
    <row r="6264" spans="1:1" x14ac:dyDescent="0.25">
      <c r="A6264" s="19" t="s">
        <v>8810</v>
      </c>
    </row>
    <row r="6265" spans="1:1" x14ac:dyDescent="0.25">
      <c r="A6265" s="19" t="s">
        <v>8811</v>
      </c>
    </row>
    <row r="6266" spans="1:1" x14ac:dyDescent="0.25">
      <c r="A6266" s="19" t="s">
        <v>8812</v>
      </c>
    </row>
    <row r="6267" spans="1:1" x14ac:dyDescent="0.25">
      <c r="A6267" s="19" t="s">
        <v>8813</v>
      </c>
    </row>
    <row r="6268" spans="1:1" x14ac:dyDescent="0.25">
      <c r="A6268" s="19" t="s">
        <v>8814</v>
      </c>
    </row>
    <row r="6269" spans="1:1" x14ac:dyDescent="0.25">
      <c r="A6269" s="19" t="s">
        <v>8815</v>
      </c>
    </row>
    <row r="6270" spans="1:1" x14ac:dyDescent="0.25">
      <c r="A6270" s="19" t="s">
        <v>8816</v>
      </c>
    </row>
    <row r="6271" spans="1:1" x14ac:dyDescent="0.25">
      <c r="A6271" s="19" t="s">
        <v>8817</v>
      </c>
    </row>
    <row r="6272" spans="1:1" x14ac:dyDescent="0.25">
      <c r="A6272" s="19" t="s">
        <v>8818</v>
      </c>
    </row>
    <row r="6273" spans="1:1" x14ac:dyDescent="0.25">
      <c r="A6273" s="19" t="s">
        <v>8819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BE6BF-E8F1-409D-96C8-99D79A5F14FB}">
  <dimension ref="A1:E1001"/>
  <sheetViews>
    <sheetView workbookViewId="0">
      <selection activeCell="G4" sqref="G4"/>
    </sheetView>
  </sheetViews>
  <sheetFormatPr defaultRowHeight="15.75" x14ac:dyDescent="0.25"/>
  <cols>
    <col min="2" max="2" width="17.25" customWidth="1"/>
    <col min="3" max="3" width="54.125" customWidth="1"/>
    <col min="4" max="4" width="57.25" customWidth="1"/>
    <col min="5" max="5" width="14.125" bestFit="1" customWidth="1"/>
  </cols>
  <sheetData>
    <row r="1" spans="1:5" x14ac:dyDescent="0.25">
      <c r="A1" s="22" t="s">
        <v>8843</v>
      </c>
      <c r="B1" s="22" t="s">
        <v>8844</v>
      </c>
      <c r="C1" s="22" t="s">
        <v>8845</v>
      </c>
      <c r="D1" s="22" t="s">
        <v>8846</v>
      </c>
      <c r="E1" s="23" t="s">
        <v>8847</v>
      </c>
    </row>
    <row r="2" spans="1:5" x14ac:dyDescent="0.25">
      <c r="A2" s="24">
        <v>601</v>
      </c>
      <c r="B2" s="24" t="s">
        <v>8848</v>
      </c>
      <c r="C2" s="24" t="s">
        <v>8849</v>
      </c>
      <c r="D2" s="25" t="s">
        <v>8850</v>
      </c>
      <c r="E2" s="23">
        <v>2</v>
      </c>
    </row>
    <row r="3" spans="1:5" x14ac:dyDescent="0.25">
      <c r="A3" s="24">
        <v>601</v>
      </c>
      <c r="B3" s="24" t="s">
        <v>8848</v>
      </c>
      <c r="C3" s="24" t="s">
        <v>8849</v>
      </c>
      <c r="D3" s="23" t="s">
        <v>8851</v>
      </c>
      <c r="E3" s="23">
        <v>2</v>
      </c>
    </row>
    <row r="4" spans="1:5" x14ac:dyDescent="0.25">
      <c r="A4" s="24">
        <v>601</v>
      </c>
      <c r="B4" s="24" t="s">
        <v>8848</v>
      </c>
      <c r="C4" s="24" t="s">
        <v>8849</v>
      </c>
      <c r="D4" s="23" t="s">
        <v>8852</v>
      </c>
      <c r="E4" s="23">
        <v>2</v>
      </c>
    </row>
    <row r="5" spans="1:5" x14ac:dyDescent="0.25">
      <c r="A5" s="24">
        <v>601</v>
      </c>
      <c r="B5" s="24" t="s">
        <v>8848</v>
      </c>
      <c r="C5" s="24" t="s">
        <v>8849</v>
      </c>
      <c r="D5" s="23" t="s">
        <v>8853</v>
      </c>
      <c r="E5" s="23">
        <v>2</v>
      </c>
    </row>
    <row r="6" spans="1:5" x14ac:dyDescent="0.25">
      <c r="A6" s="24">
        <v>601</v>
      </c>
      <c r="B6" s="24" t="s">
        <v>8848</v>
      </c>
      <c r="C6" s="24" t="s">
        <v>8849</v>
      </c>
      <c r="D6" s="23" t="s">
        <v>8854</v>
      </c>
      <c r="E6" s="23">
        <v>2</v>
      </c>
    </row>
    <row r="7" spans="1:5" x14ac:dyDescent="0.25">
      <c r="A7" s="24">
        <v>601</v>
      </c>
      <c r="B7" s="24" t="s">
        <v>8848</v>
      </c>
      <c r="C7" s="24" t="s">
        <v>8849</v>
      </c>
      <c r="D7" s="23" t="s">
        <v>8855</v>
      </c>
      <c r="E7" s="23">
        <v>2</v>
      </c>
    </row>
    <row r="8" spans="1:5" x14ac:dyDescent="0.25">
      <c r="A8" s="24">
        <v>601</v>
      </c>
      <c r="B8" s="24" t="s">
        <v>8848</v>
      </c>
      <c r="C8" s="24" t="s">
        <v>8849</v>
      </c>
      <c r="D8" s="23" t="s">
        <v>8856</v>
      </c>
      <c r="E8" s="23">
        <v>2</v>
      </c>
    </row>
    <row r="9" spans="1:5" x14ac:dyDescent="0.25">
      <c r="A9" s="24">
        <v>601</v>
      </c>
      <c r="B9" s="24" t="s">
        <v>8848</v>
      </c>
      <c r="C9" s="24" t="s">
        <v>8849</v>
      </c>
      <c r="D9" s="23" t="s">
        <v>8857</v>
      </c>
      <c r="E9" s="23">
        <v>2</v>
      </c>
    </row>
    <row r="10" spans="1:5" x14ac:dyDescent="0.25">
      <c r="A10" s="24">
        <v>601</v>
      </c>
      <c r="B10" s="24" t="s">
        <v>8848</v>
      </c>
      <c r="C10" s="24" t="s">
        <v>8849</v>
      </c>
      <c r="D10" s="23" t="s">
        <v>8858</v>
      </c>
      <c r="E10" s="23">
        <v>2</v>
      </c>
    </row>
    <row r="11" spans="1:5" x14ac:dyDescent="0.25">
      <c r="A11" s="24">
        <v>601</v>
      </c>
      <c r="B11" s="24" t="s">
        <v>8848</v>
      </c>
      <c r="C11" s="24" t="s">
        <v>8849</v>
      </c>
      <c r="D11" s="23" t="s">
        <v>8859</v>
      </c>
      <c r="E11" s="23">
        <v>2</v>
      </c>
    </row>
    <row r="12" spans="1:5" x14ac:dyDescent="0.25">
      <c r="A12" s="24">
        <v>601</v>
      </c>
      <c r="B12" s="24" t="s">
        <v>8848</v>
      </c>
      <c r="C12" s="24" t="s">
        <v>8849</v>
      </c>
      <c r="D12" s="23" t="s">
        <v>8860</v>
      </c>
      <c r="E12" s="23">
        <v>2</v>
      </c>
    </row>
    <row r="13" spans="1:5" x14ac:dyDescent="0.25">
      <c r="A13" s="24">
        <v>601</v>
      </c>
      <c r="B13" s="24" t="s">
        <v>8848</v>
      </c>
      <c r="C13" s="24" t="s">
        <v>8849</v>
      </c>
      <c r="D13" s="23" t="s">
        <v>8861</v>
      </c>
      <c r="E13" s="23">
        <v>2</v>
      </c>
    </row>
    <row r="14" spans="1:5" x14ac:dyDescent="0.25">
      <c r="A14" s="24">
        <v>601</v>
      </c>
      <c r="B14" s="24" t="s">
        <v>8848</v>
      </c>
      <c r="C14" s="24" t="s">
        <v>8849</v>
      </c>
      <c r="D14" s="23" t="s">
        <v>8862</v>
      </c>
      <c r="E14" s="23">
        <v>2</v>
      </c>
    </row>
    <row r="15" spans="1:5" x14ac:dyDescent="0.25">
      <c r="A15" s="24">
        <v>601</v>
      </c>
      <c r="B15" s="24" t="s">
        <v>8848</v>
      </c>
      <c r="C15" s="24" t="s">
        <v>8849</v>
      </c>
      <c r="D15" s="23" t="s">
        <v>8863</v>
      </c>
      <c r="E15" s="23">
        <v>2</v>
      </c>
    </row>
    <row r="16" spans="1:5" x14ac:dyDescent="0.25">
      <c r="A16" s="24">
        <v>601</v>
      </c>
      <c r="B16" s="24" t="s">
        <v>8848</v>
      </c>
      <c r="C16" s="24" t="s">
        <v>8849</v>
      </c>
      <c r="D16" s="23" t="s">
        <v>8864</v>
      </c>
      <c r="E16" s="23">
        <v>2</v>
      </c>
    </row>
    <row r="17" spans="1:5" x14ac:dyDescent="0.25">
      <c r="A17" s="24">
        <v>1</v>
      </c>
      <c r="B17" s="24" t="s">
        <v>8848</v>
      </c>
      <c r="C17" s="25" t="s">
        <v>8850</v>
      </c>
      <c r="D17" s="25" t="s">
        <v>8850</v>
      </c>
      <c r="E17" s="23">
        <v>2</v>
      </c>
    </row>
    <row r="18" spans="1:5" x14ac:dyDescent="0.25">
      <c r="A18" s="24">
        <v>2</v>
      </c>
      <c r="B18" s="24" t="s">
        <v>8848</v>
      </c>
      <c r="C18" s="23" t="s">
        <v>8851</v>
      </c>
      <c r="D18" s="23" t="s">
        <v>8851</v>
      </c>
      <c r="E18" s="23">
        <v>2</v>
      </c>
    </row>
    <row r="19" spans="1:5" x14ac:dyDescent="0.25">
      <c r="A19" s="24">
        <v>3</v>
      </c>
      <c r="B19" s="24" t="s">
        <v>8848</v>
      </c>
      <c r="C19" s="23" t="s">
        <v>8852</v>
      </c>
      <c r="D19" s="23" t="s">
        <v>8852</v>
      </c>
      <c r="E19" s="23">
        <v>2</v>
      </c>
    </row>
    <row r="20" spans="1:5" x14ac:dyDescent="0.25">
      <c r="A20" s="24">
        <v>4</v>
      </c>
      <c r="B20" s="24" t="s">
        <v>8848</v>
      </c>
      <c r="C20" s="23" t="s">
        <v>8853</v>
      </c>
      <c r="D20" s="23" t="s">
        <v>8853</v>
      </c>
      <c r="E20" s="23">
        <v>2</v>
      </c>
    </row>
    <row r="21" spans="1:5" x14ac:dyDescent="0.25">
      <c r="A21" s="24">
        <v>5</v>
      </c>
      <c r="B21" s="24" t="s">
        <v>8848</v>
      </c>
      <c r="C21" s="23" t="s">
        <v>8854</v>
      </c>
      <c r="D21" s="23" t="s">
        <v>8854</v>
      </c>
      <c r="E21" s="23">
        <v>2</v>
      </c>
    </row>
    <row r="22" spans="1:5" x14ac:dyDescent="0.25">
      <c r="A22" s="24">
        <v>6</v>
      </c>
      <c r="B22" s="24" t="s">
        <v>8848</v>
      </c>
      <c r="C22" s="23" t="s">
        <v>8855</v>
      </c>
      <c r="D22" s="23" t="s">
        <v>8855</v>
      </c>
      <c r="E22" s="23">
        <v>2</v>
      </c>
    </row>
    <row r="23" spans="1:5" x14ac:dyDescent="0.25">
      <c r="A23" s="24">
        <v>7</v>
      </c>
      <c r="B23" s="24" t="s">
        <v>8848</v>
      </c>
      <c r="C23" s="23" t="s">
        <v>8856</v>
      </c>
      <c r="D23" s="23" t="s">
        <v>8856</v>
      </c>
      <c r="E23" s="23">
        <v>2</v>
      </c>
    </row>
    <row r="24" spans="1:5" x14ac:dyDescent="0.25">
      <c r="A24" s="24">
        <v>8</v>
      </c>
      <c r="B24" s="24" t="s">
        <v>8848</v>
      </c>
      <c r="C24" s="23" t="s">
        <v>8857</v>
      </c>
      <c r="D24" s="23" t="s">
        <v>8857</v>
      </c>
      <c r="E24" s="23">
        <v>2</v>
      </c>
    </row>
    <row r="25" spans="1:5" x14ac:dyDescent="0.25">
      <c r="A25" s="24">
        <v>9</v>
      </c>
      <c r="B25" s="24" t="s">
        <v>8848</v>
      </c>
      <c r="C25" s="23" t="s">
        <v>8858</v>
      </c>
      <c r="D25" s="23" t="s">
        <v>8858</v>
      </c>
      <c r="E25" s="23">
        <v>2</v>
      </c>
    </row>
    <row r="26" spans="1:5" x14ac:dyDescent="0.25">
      <c r="A26" s="24">
        <v>10</v>
      </c>
      <c r="B26" s="24" t="s">
        <v>8848</v>
      </c>
      <c r="C26" s="23" t="s">
        <v>8859</v>
      </c>
      <c r="D26" s="23" t="s">
        <v>8859</v>
      </c>
      <c r="E26" s="23">
        <v>2</v>
      </c>
    </row>
    <row r="27" spans="1:5" x14ac:dyDescent="0.25">
      <c r="A27" s="24">
        <v>11</v>
      </c>
      <c r="B27" s="24" t="s">
        <v>8848</v>
      </c>
      <c r="C27" s="23" t="s">
        <v>8860</v>
      </c>
      <c r="D27" s="23" t="s">
        <v>8860</v>
      </c>
      <c r="E27" s="23">
        <v>2</v>
      </c>
    </row>
    <row r="28" spans="1:5" x14ac:dyDescent="0.25">
      <c r="A28" s="24">
        <v>12</v>
      </c>
      <c r="B28" s="24" t="s">
        <v>8848</v>
      </c>
      <c r="C28" s="23" t="s">
        <v>8861</v>
      </c>
      <c r="D28" s="23" t="s">
        <v>8861</v>
      </c>
      <c r="E28" s="23">
        <v>2</v>
      </c>
    </row>
    <row r="29" spans="1:5" x14ac:dyDescent="0.25">
      <c r="A29" s="24">
        <v>13</v>
      </c>
      <c r="B29" s="24" t="s">
        <v>8848</v>
      </c>
      <c r="C29" s="23" t="s">
        <v>8862</v>
      </c>
      <c r="D29" s="23" t="s">
        <v>8862</v>
      </c>
      <c r="E29" s="23">
        <v>2</v>
      </c>
    </row>
    <row r="30" spans="1:5" x14ac:dyDescent="0.25">
      <c r="A30" s="24">
        <v>14</v>
      </c>
      <c r="B30" s="24" t="s">
        <v>8848</v>
      </c>
      <c r="C30" s="23" t="s">
        <v>8863</v>
      </c>
      <c r="D30" s="23" t="s">
        <v>8863</v>
      </c>
      <c r="E30" s="23">
        <v>2</v>
      </c>
    </row>
    <row r="31" spans="1:5" x14ac:dyDescent="0.25">
      <c r="A31" s="24">
        <v>15</v>
      </c>
      <c r="B31" s="24" t="s">
        <v>8848</v>
      </c>
      <c r="C31" s="23" t="s">
        <v>8864</v>
      </c>
      <c r="D31" s="23" t="s">
        <v>8864</v>
      </c>
      <c r="E31" s="23">
        <v>2</v>
      </c>
    </row>
    <row r="32" spans="1:5" x14ac:dyDescent="0.25">
      <c r="A32" s="24">
        <v>602</v>
      </c>
      <c r="B32" s="24" t="s">
        <v>8865</v>
      </c>
      <c r="C32" s="24" t="s">
        <v>8866</v>
      </c>
      <c r="D32" s="25" t="s">
        <v>8867</v>
      </c>
      <c r="E32" s="23">
        <v>2</v>
      </c>
    </row>
    <row r="33" spans="1:5" x14ac:dyDescent="0.25">
      <c r="A33" s="24">
        <v>602</v>
      </c>
      <c r="B33" s="24" t="s">
        <v>8865</v>
      </c>
      <c r="C33" s="24" t="s">
        <v>8866</v>
      </c>
      <c r="D33" s="23" t="s">
        <v>8868</v>
      </c>
      <c r="E33" s="23">
        <v>2</v>
      </c>
    </row>
    <row r="34" spans="1:5" x14ac:dyDescent="0.25">
      <c r="A34" s="24">
        <v>602</v>
      </c>
      <c r="B34" s="24" t="s">
        <v>8865</v>
      </c>
      <c r="C34" s="24" t="s">
        <v>8866</v>
      </c>
      <c r="D34" s="23" t="s">
        <v>8869</v>
      </c>
      <c r="E34" s="23">
        <v>2</v>
      </c>
    </row>
    <row r="35" spans="1:5" x14ac:dyDescent="0.25">
      <c r="A35" s="24">
        <v>602</v>
      </c>
      <c r="B35" s="24" t="s">
        <v>8865</v>
      </c>
      <c r="C35" s="24" t="s">
        <v>8866</v>
      </c>
      <c r="D35" s="23" t="s">
        <v>8870</v>
      </c>
      <c r="E35" s="23">
        <v>2</v>
      </c>
    </row>
    <row r="36" spans="1:5" x14ac:dyDescent="0.25">
      <c r="A36" s="24">
        <v>602</v>
      </c>
      <c r="B36" s="24" t="s">
        <v>8865</v>
      </c>
      <c r="C36" s="24" t="s">
        <v>8866</v>
      </c>
      <c r="D36" s="23" t="s">
        <v>8871</v>
      </c>
      <c r="E36" s="23">
        <v>2</v>
      </c>
    </row>
    <row r="37" spans="1:5" x14ac:dyDescent="0.25">
      <c r="A37" s="24">
        <v>602</v>
      </c>
      <c r="B37" s="24" t="s">
        <v>8865</v>
      </c>
      <c r="C37" s="24" t="s">
        <v>8866</v>
      </c>
      <c r="D37" s="23" t="s">
        <v>8872</v>
      </c>
      <c r="E37" s="23">
        <v>2</v>
      </c>
    </row>
    <row r="38" spans="1:5" x14ac:dyDescent="0.25">
      <c r="A38" s="24">
        <v>16</v>
      </c>
      <c r="B38" s="24" t="s">
        <v>8865</v>
      </c>
      <c r="C38" s="25" t="s">
        <v>8867</v>
      </c>
      <c r="D38" s="25" t="s">
        <v>8867</v>
      </c>
      <c r="E38" s="23">
        <v>2</v>
      </c>
    </row>
    <row r="39" spans="1:5" x14ac:dyDescent="0.25">
      <c r="A39" s="24">
        <v>17</v>
      </c>
      <c r="B39" s="24" t="s">
        <v>8865</v>
      </c>
      <c r="C39" s="23" t="s">
        <v>8868</v>
      </c>
      <c r="D39" s="23" t="s">
        <v>8868</v>
      </c>
      <c r="E39" s="23">
        <v>2</v>
      </c>
    </row>
    <row r="40" spans="1:5" x14ac:dyDescent="0.25">
      <c r="A40" s="24">
        <v>18</v>
      </c>
      <c r="B40" s="24" t="s">
        <v>8865</v>
      </c>
      <c r="C40" s="23" t="s">
        <v>8869</v>
      </c>
      <c r="D40" s="23" t="s">
        <v>8869</v>
      </c>
      <c r="E40" s="23">
        <v>2</v>
      </c>
    </row>
    <row r="41" spans="1:5" x14ac:dyDescent="0.25">
      <c r="A41" s="24">
        <v>19</v>
      </c>
      <c r="B41" s="24" t="s">
        <v>8865</v>
      </c>
      <c r="C41" s="23" t="s">
        <v>8870</v>
      </c>
      <c r="D41" s="23" t="s">
        <v>8870</v>
      </c>
      <c r="E41" s="23">
        <v>2</v>
      </c>
    </row>
    <row r="42" spans="1:5" x14ac:dyDescent="0.25">
      <c r="A42" s="24">
        <v>20</v>
      </c>
      <c r="B42" s="24" t="s">
        <v>8865</v>
      </c>
      <c r="C42" s="23" t="s">
        <v>8871</v>
      </c>
      <c r="D42" s="23" t="s">
        <v>8871</v>
      </c>
      <c r="E42" s="23">
        <v>2</v>
      </c>
    </row>
    <row r="43" spans="1:5" x14ac:dyDescent="0.25">
      <c r="A43" s="24">
        <v>21</v>
      </c>
      <c r="B43" s="24" t="s">
        <v>8865</v>
      </c>
      <c r="C43" s="23" t="s">
        <v>8872</v>
      </c>
      <c r="D43" s="23" t="s">
        <v>8872</v>
      </c>
      <c r="E43" s="23">
        <v>2</v>
      </c>
    </row>
    <row r="44" spans="1:5" x14ac:dyDescent="0.25">
      <c r="A44" s="24">
        <v>603</v>
      </c>
      <c r="B44" s="24" t="s">
        <v>8873</v>
      </c>
      <c r="C44" s="24" t="s">
        <v>8874</v>
      </c>
      <c r="D44" s="25" t="s">
        <v>8875</v>
      </c>
      <c r="E44" s="23">
        <v>2</v>
      </c>
    </row>
    <row r="45" spans="1:5" x14ac:dyDescent="0.25">
      <c r="A45" s="24">
        <v>603</v>
      </c>
      <c r="B45" s="24" t="s">
        <v>8873</v>
      </c>
      <c r="C45" s="24" t="s">
        <v>8874</v>
      </c>
      <c r="D45" s="23" t="s">
        <v>8876</v>
      </c>
      <c r="E45" s="23">
        <v>2</v>
      </c>
    </row>
    <row r="46" spans="1:5" x14ac:dyDescent="0.25">
      <c r="A46" s="24">
        <v>603</v>
      </c>
      <c r="B46" s="24" t="s">
        <v>8873</v>
      </c>
      <c r="C46" s="24" t="s">
        <v>8874</v>
      </c>
      <c r="D46" s="23" t="s">
        <v>8877</v>
      </c>
      <c r="E46" s="23">
        <v>2</v>
      </c>
    </row>
    <row r="47" spans="1:5" x14ac:dyDescent="0.25">
      <c r="A47" s="24">
        <v>603</v>
      </c>
      <c r="B47" s="24" t="s">
        <v>8873</v>
      </c>
      <c r="C47" s="24" t="s">
        <v>8874</v>
      </c>
      <c r="D47" s="23" t="s">
        <v>8878</v>
      </c>
      <c r="E47" s="23">
        <v>2</v>
      </c>
    </row>
    <row r="48" spans="1:5" x14ac:dyDescent="0.25">
      <c r="A48" s="24">
        <v>603</v>
      </c>
      <c r="B48" s="24" t="s">
        <v>8873</v>
      </c>
      <c r="C48" s="24" t="s">
        <v>8874</v>
      </c>
      <c r="D48" s="23" t="s">
        <v>8879</v>
      </c>
      <c r="E48" s="23">
        <v>2</v>
      </c>
    </row>
    <row r="49" spans="1:5" x14ac:dyDescent="0.25">
      <c r="A49" s="24">
        <v>603</v>
      </c>
      <c r="B49" s="24" t="s">
        <v>8873</v>
      </c>
      <c r="C49" s="24" t="s">
        <v>8874</v>
      </c>
      <c r="D49" s="23" t="s">
        <v>8880</v>
      </c>
      <c r="E49" s="23">
        <v>2</v>
      </c>
    </row>
    <row r="50" spans="1:5" x14ac:dyDescent="0.25">
      <c r="A50" s="24">
        <v>603</v>
      </c>
      <c r="B50" s="24" t="s">
        <v>8873</v>
      </c>
      <c r="C50" s="24" t="s">
        <v>8874</v>
      </c>
      <c r="D50" s="23" t="s">
        <v>8881</v>
      </c>
      <c r="E50" s="23">
        <v>2</v>
      </c>
    </row>
    <row r="51" spans="1:5" x14ac:dyDescent="0.25">
      <c r="A51" s="24">
        <v>603</v>
      </c>
      <c r="B51" s="24" t="s">
        <v>8873</v>
      </c>
      <c r="C51" s="24" t="s">
        <v>8874</v>
      </c>
      <c r="D51" s="23" t="s">
        <v>8882</v>
      </c>
      <c r="E51" s="23">
        <v>2</v>
      </c>
    </row>
    <row r="52" spans="1:5" x14ac:dyDescent="0.25">
      <c r="A52" s="24">
        <v>22</v>
      </c>
      <c r="B52" s="24" t="s">
        <v>8873</v>
      </c>
      <c r="C52" s="25" t="s">
        <v>8875</v>
      </c>
      <c r="D52" s="25" t="s">
        <v>8875</v>
      </c>
      <c r="E52" s="23">
        <v>2</v>
      </c>
    </row>
    <row r="53" spans="1:5" x14ac:dyDescent="0.25">
      <c r="A53" s="24">
        <v>23</v>
      </c>
      <c r="B53" s="24" t="s">
        <v>8873</v>
      </c>
      <c r="C53" s="23" t="s">
        <v>8876</v>
      </c>
      <c r="D53" s="23" t="s">
        <v>8876</v>
      </c>
      <c r="E53" s="23">
        <v>2</v>
      </c>
    </row>
    <row r="54" spans="1:5" x14ac:dyDescent="0.25">
      <c r="A54" s="24">
        <v>24</v>
      </c>
      <c r="B54" s="24" t="s">
        <v>8873</v>
      </c>
      <c r="C54" s="23" t="s">
        <v>8877</v>
      </c>
      <c r="D54" s="23" t="s">
        <v>8877</v>
      </c>
      <c r="E54" s="23">
        <v>2</v>
      </c>
    </row>
    <row r="55" spans="1:5" x14ac:dyDescent="0.25">
      <c r="A55" s="24">
        <v>25</v>
      </c>
      <c r="B55" s="24" t="s">
        <v>8873</v>
      </c>
      <c r="C55" s="23" t="s">
        <v>8878</v>
      </c>
      <c r="D55" s="23" t="s">
        <v>8878</v>
      </c>
      <c r="E55" s="23">
        <v>2</v>
      </c>
    </row>
    <row r="56" spans="1:5" x14ac:dyDescent="0.25">
      <c r="A56" s="24">
        <v>26</v>
      </c>
      <c r="B56" s="24" t="s">
        <v>8873</v>
      </c>
      <c r="C56" s="23" t="s">
        <v>8879</v>
      </c>
      <c r="D56" s="23" t="s">
        <v>8879</v>
      </c>
      <c r="E56" s="23">
        <v>2</v>
      </c>
    </row>
    <row r="57" spans="1:5" x14ac:dyDescent="0.25">
      <c r="A57" s="24">
        <v>27</v>
      </c>
      <c r="B57" s="24" t="s">
        <v>8873</v>
      </c>
      <c r="C57" s="23" t="s">
        <v>8880</v>
      </c>
      <c r="D57" s="23" t="s">
        <v>8880</v>
      </c>
      <c r="E57" s="23">
        <v>2</v>
      </c>
    </row>
    <row r="58" spans="1:5" x14ac:dyDescent="0.25">
      <c r="A58" s="24">
        <v>28</v>
      </c>
      <c r="B58" s="24" t="s">
        <v>8873</v>
      </c>
      <c r="C58" s="23" t="s">
        <v>8881</v>
      </c>
      <c r="D58" s="23" t="s">
        <v>8881</v>
      </c>
      <c r="E58" s="23">
        <v>2</v>
      </c>
    </row>
    <row r="59" spans="1:5" x14ac:dyDescent="0.25">
      <c r="A59" s="24">
        <v>29</v>
      </c>
      <c r="B59" s="24" t="s">
        <v>8873</v>
      </c>
      <c r="C59" s="23" t="s">
        <v>8882</v>
      </c>
      <c r="D59" s="23" t="s">
        <v>8882</v>
      </c>
      <c r="E59" s="23">
        <v>2</v>
      </c>
    </row>
    <row r="60" spans="1:5" x14ac:dyDescent="0.25">
      <c r="A60" s="24">
        <v>604</v>
      </c>
      <c r="B60" s="24" t="s">
        <v>8883</v>
      </c>
      <c r="C60" s="24" t="s">
        <v>8884</v>
      </c>
      <c r="D60" s="25" t="s">
        <v>8885</v>
      </c>
      <c r="E60" s="23">
        <v>2</v>
      </c>
    </row>
    <row r="61" spans="1:5" x14ac:dyDescent="0.25">
      <c r="A61" s="24">
        <v>604</v>
      </c>
      <c r="B61" s="24" t="s">
        <v>8883</v>
      </c>
      <c r="C61" s="24" t="s">
        <v>8884</v>
      </c>
      <c r="D61" s="23" t="s">
        <v>8886</v>
      </c>
      <c r="E61" s="23">
        <v>2</v>
      </c>
    </row>
    <row r="62" spans="1:5" x14ac:dyDescent="0.25">
      <c r="A62" s="24">
        <v>604</v>
      </c>
      <c r="B62" s="24" t="s">
        <v>8883</v>
      </c>
      <c r="C62" s="24" t="s">
        <v>8884</v>
      </c>
      <c r="D62" s="23" t="s">
        <v>8887</v>
      </c>
      <c r="E62" s="23">
        <v>2</v>
      </c>
    </row>
    <row r="63" spans="1:5" x14ac:dyDescent="0.25">
      <c r="A63" s="24">
        <v>30</v>
      </c>
      <c r="B63" s="24" t="s">
        <v>8883</v>
      </c>
      <c r="C63" s="25" t="s">
        <v>8885</v>
      </c>
      <c r="D63" s="25" t="s">
        <v>8885</v>
      </c>
      <c r="E63" s="23">
        <v>2</v>
      </c>
    </row>
    <row r="64" spans="1:5" x14ac:dyDescent="0.25">
      <c r="A64" s="24">
        <v>31</v>
      </c>
      <c r="B64" s="24" t="s">
        <v>8883</v>
      </c>
      <c r="C64" s="23" t="s">
        <v>8886</v>
      </c>
      <c r="D64" s="23" t="s">
        <v>8886</v>
      </c>
      <c r="E64" s="23">
        <v>2</v>
      </c>
    </row>
    <row r="65" spans="1:5" x14ac:dyDescent="0.25">
      <c r="A65" s="24">
        <v>32</v>
      </c>
      <c r="B65" s="24" t="s">
        <v>8883</v>
      </c>
      <c r="C65" s="23" t="s">
        <v>8887</v>
      </c>
      <c r="D65" s="23" t="s">
        <v>8887</v>
      </c>
      <c r="E65" s="23">
        <v>2</v>
      </c>
    </row>
    <row r="66" spans="1:5" x14ac:dyDescent="0.25">
      <c r="A66" s="24">
        <v>605</v>
      </c>
      <c r="B66" s="24" t="s">
        <v>8888</v>
      </c>
      <c r="C66" s="24" t="s">
        <v>8889</v>
      </c>
      <c r="D66" s="25" t="s">
        <v>8890</v>
      </c>
      <c r="E66" s="23">
        <v>2</v>
      </c>
    </row>
    <row r="67" spans="1:5" x14ac:dyDescent="0.25">
      <c r="A67" s="24">
        <v>605</v>
      </c>
      <c r="B67" s="24" t="s">
        <v>8888</v>
      </c>
      <c r="C67" s="24" t="s">
        <v>8889</v>
      </c>
      <c r="D67" s="23" t="s">
        <v>8891</v>
      </c>
      <c r="E67" s="23">
        <v>2</v>
      </c>
    </row>
    <row r="68" spans="1:5" x14ac:dyDescent="0.25">
      <c r="A68" s="24">
        <v>605</v>
      </c>
      <c r="B68" s="24" t="s">
        <v>8888</v>
      </c>
      <c r="C68" s="24" t="s">
        <v>8889</v>
      </c>
      <c r="D68" s="23" t="s">
        <v>8892</v>
      </c>
      <c r="E68" s="23">
        <v>2</v>
      </c>
    </row>
    <row r="69" spans="1:5" x14ac:dyDescent="0.25">
      <c r="A69" s="24">
        <v>605</v>
      </c>
      <c r="B69" s="24" t="s">
        <v>8888</v>
      </c>
      <c r="C69" s="24" t="s">
        <v>8889</v>
      </c>
      <c r="D69" s="23" t="s">
        <v>8893</v>
      </c>
      <c r="E69" s="23">
        <v>2</v>
      </c>
    </row>
    <row r="70" spans="1:5" x14ac:dyDescent="0.25">
      <c r="A70" s="24">
        <v>605</v>
      </c>
      <c r="B70" s="24" t="s">
        <v>8888</v>
      </c>
      <c r="C70" s="24" t="s">
        <v>8889</v>
      </c>
      <c r="D70" s="23" t="s">
        <v>8894</v>
      </c>
      <c r="E70" s="23">
        <v>2</v>
      </c>
    </row>
    <row r="71" spans="1:5" x14ac:dyDescent="0.25">
      <c r="A71" s="24">
        <v>33</v>
      </c>
      <c r="B71" s="24" t="s">
        <v>8888</v>
      </c>
      <c r="C71" s="25" t="s">
        <v>8890</v>
      </c>
      <c r="D71" s="25" t="s">
        <v>8890</v>
      </c>
      <c r="E71" s="23">
        <v>2</v>
      </c>
    </row>
    <row r="72" spans="1:5" x14ac:dyDescent="0.25">
      <c r="A72" s="24">
        <v>34</v>
      </c>
      <c r="B72" s="24" t="s">
        <v>8888</v>
      </c>
      <c r="C72" s="23" t="s">
        <v>8891</v>
      </c>
      <c r="D72" s="23" t="s">
        <v>8891</v>
      </c>
      <c r="E72" s="23">
        <v>2</v>
      </c>
    </row>
    <row r="73" spans="1:5" x14ac:dyDescent="0.25">
      <c r="A73" s="24">
        <v>35</v>
      </c>
      <c r="B73" s="24" t="s">
        <v>8888</v>
      </c>
      <c r="C73" s="23" t="s">
        <v>8892</v>
      </c>
      <c r="D73" s="23" t="s">
        <v>8892</v>
      </c>
      <c r="E73" s="23">
        <v>2</v>
      </c>
    </row>
    <row r="74" spans="1:5" x14ac:dyDescent="0.25">
      <c r="A74" s="24">
        <v>36</v>
      </c>
      <c r="B74" s="24" t="s">
        <v>8888</v>
      </c>
      <c r="C74" s="23" t="s">
        <v>8893</v>
      </c>
      <c r="D74" s="23" t="s">
        <v>8893</v>
      </c>
      <c r="E74" s="23">
        <v>2</v>
      </c>
    </row>
    <row r="75" spans="1:5" x14ac:dyDescent="0.25">
      <c r="A75" s="24">
        <v>37</v>
      </c>
      <c r="B75" s="24" t="s">
        <v>8888</v>
      </c>
      <c r="C75" s="23" t="s">
        <v>8894</v>
      </c>
      <c r="D75" s="23" t="s">
        <v>8894</v>
      </c>
      <c r="E75" s="23">
        <v>2</v>
      </c>
    </row>
    <row r="76" spans="1:5" x14ac:dyDescent="0.25">
      <c r="A76" s="24">
        <v>606</v>
      </c>
      <c r="B76" s="24" t="s">
        <v>8895</v>
      </c>
      <c r="C76" s="24" t="s">
        <v>8896</v>
      </c>
      <c r="D76" s="25" t="s">
        <v>8897</v>
      </c>
      <c r="E76" s="23">
        <v>2</v>
      </c>
    </row>
    <row r="77" spans="1:5" x14ac:dyDescent="0.25">
      <c r="A77" s="24">
        <v>606</v>
      </c>
      <c r="B77" s="24" t="s">
        <v>8895</v>
      </c>
      <c r="C77" s="24" t="s">
        <v>8896</v>
      </c>
      <c r="D77" s="23" t="s">
        <v>8898</v>
      </c>
      <c r="E77" s="23">
        <v>2</v>
      </c>
    </row>
    <row r="78" spans="1:5" x14ac:dyDescent="0.25">
      <c r="A78" s="24">
        <v>606</v>
      </c>
      <c r="B78" s="24" t="s">
        <v>8895</v>
      </c>
      <c r="C78" s="24" t="s">
        <v>8896</v>
      </c>
      <c r="D78" s="23" t="s">
        <v>8899</v>
      </c>
      <c r="E78" s="23">
        <v>2</v>
      </c>
    </row>
    <row r="79" spans="1:5" x14ac:dyDescent="0.25">
      <c r="A79" s="24">
        <v>38</v>
      </c>
      <c r="B79" s="24" t="s">
        <v>8895</v>
      </c>
      <c r="C79" s="25" t="s">
        <v>8897</v>
      </c>
      <c r="D79" s="25" t="s">
        <v>8897</v>
      </c>
      <c r="E79" s="23">
        <v>2</v>
      </c>
    </row>
    <row r="80" spans="1:5" x14ac:dyDescent="0.25">
      <c r="A80" s="24">
        <v>39</v>
      </c>
      <c r="B80" s="24" t="s">
        <v>8895</v>
      </c>
      <c r="C80" s="23" t="s">
        <v>8898</v>
      </c>
      <c r="D80" s="23" t="s">
        <v>8898</v>
      </c>
      <c r="E80" s="23">
        <v>2</v>
      </c>
    </row>
    <row r="81" spans="1:5" x14ac:dyDescent="0.25">
      <c r="A81" s="24">
        <v>40</v>
      </c>
      <c r="B81" s="24" t="s">
        <v>8895</v>
      </c>
      <c r="C81" s="23" t="s">
        <v>8899</v>
      </c>
      <c r="D81" s="23" t="s">
        <v>8899</v>
      </c>
      <c r="E81" s="23">
        <v>2</v>
      </c>
    </row>
    <row r="82" spans="1:5" x14ac:dyDescent="0.25">
      <c r="A82" s="24">
        <v>607</v>
      </c>
      <c r="B82" s="24" t="s">
        <v>8900</v>
      </c>
      <c r="C82" s="24" t="s">
        <v>8901</v>
      </c>
      <c r="D82" s="25" t="s">
        <v>8902</v>
      </c>
      <c r="E82" s="23">
        <v>2</v>
      </c>
    </row>
    <row r="83" spans="1:5" x14ac:dyDescent="0.25">
      <c r="A83" s="24">
        <v>607</v>
      </c>
      <c r="B83" s="24" t="s">
        <v>8900</v>
      </c>
      <c r="C83" s="24" t="s">
        <v>8901</v>
      </c>
      <c r="D83" s="23" t="s">
        <v>8903</v>
      </c>
      <c r="E83" s="23">
        <v>2</v>
      </c>
    </row>
    <row r="84" spans="1:5" x14ac:dyDescent="0.25">
      <c r="A84" s="24">
        <v>607</v>
      </c>
      <c r="B84" s="24" t="s">
        <v>8900</v>
      </c>
      <c r="C84" s="24" t="s">
        <v>8901</v>
      </c>
      <c r="D84" s="23" t="s">
        <v>8904</v>
      </c>
      <c r="E84" s="23">
        <v>2</v>
      </c>
    </row>
    <row r="85" spans="1:5" x14ac:dyDescent="0.25">
      <c r="A85" s="24">
        <v>607</v>
      </c>
      <c r="B85" s="24" t="s">
        <v>8900</v>
      </c>
      <c r="C85" s="24" t="s">
        <v>8901</v>
      </c>
      <c r="D85" s="23" t="s">
        <v>8905</v>
      </c>
      <c r="E85" s="23">
        <v>2</v>
      </c>
    </row>
    <row r="86" spans="1:5" x14ac:dyDescent="0.25">
      <c r="A86" s="24">
        <v>607</v>
      </c>
      <c r="B86" s="24" t="s">
        <v>8900</v>
      </c>
      <c r="C86" s="24" t="s">
        <v>8901</v>
      </c>
      <c r="D86" s="23" t="s">
        <v>8906</v>
      </c>
      <c r="E86" s="23">
        <v>2</v>
      </c>
    </row>
    <row r="87" spans="1:5" x14ac:dyDescent="0.25">
      <c r="A87" s="24">
        <v>607</v>
      </c>
      <c r="B87" s="24" t="s">
        <v>8900</v>
      </c>
      <c r="C87" s="24" t="s">
        <v>8901</v>
      </c>
      <c r="D87" s="23" t="s">
        <v>8907</v>
      </c>
      <c r="E87" s="23">
        <v>2</v>
      </c>
    </row>
    <row r="88" spans="1:5" x14ac:dyDescent="0.25">
      <c r="A88" s="24">
        <v>607</v>
      </c>
      <c r="B88" s="24" t="s">
        <v>8900</v>
      </c>
      <c r="C88" s="24" t="s">
        <v>8901</v>
      </c>
      <c r="D88" s="23" t="s">
        <v>8908</v>
      </c>
      <c r="E88" s="23">
        <v>2</v>
      </c>
    </row>
    <row r="89" spans="1:5" x14ac:dyDescent="0.25">
      <c r="A89" s="24">
        <v>607</v>
      </c>
      <c r="B89" s="24" t="s">
        <v>8900</v>
      </c>
      <c r="C89" s="24" t="s">
        <v>8901</v>
      </c>
      <c r="D89" s="23" t="s">
        <v>8909</v>
      </c>
      <c r="E89" s="23">
        <v>2</v>
      </c>
    </row>
    <row r="90" spans="1:5" x14ac:dyDescent="0.25">
      <c r="A90" s="24">
        <v>607</v>
      </c>
      <c r="B90" s="24" t="s">
        <v>8900</v>
      </c>
      <c r="C90" s="24" t="s">
        <v>8901</v>
      </c>
      <c r="D90" s="23" t="s">
        <v>8910</v>
      </c>
      <c r="E90" s="23">
        <v>2</v>
      </c>
    </row>
    <row r="91" spans="1:5" x14ac:dyDescent="0.25">
      <c r="A91" s="24">
        <v>607</v>
      </c>
      <c r="B91" s="24" t="s">
        <v>8900</v>
      </c>
      <c r="C91" s="24" t="s">
        <v>8901</v>
      </c>
      <c r="D91" s="23" t="s">
        <v>8911</v>
      </c>
      <c r="E91" s="23">
        <v>2</v>
      </c>
    </row>
    <row r="92" spans="1:5" x14ac:dyDescent="0.25">
      <c r="A92" s="24">
        <v>41</v>
      </c>
      <c r="B92" s="24" t="s">
        <v>8900</v>
      </c>
      <c r="C92" s="25" t="s">
        <v>8902</v>
      </c>
      <c r="D92" s="25" t="s">
        <v>8902</v>
      </c>
      <c r="E92" s="23">
        <v>2</v>
      </c>
    </row>
    <row r="93" spans="1:5" x14ac:dyDescent="0.25">
      <c r="A93" s="24">
        <v>42</v>
      </c>
      <c r="B93" s="24" t="s">
        <v>8900</v>
      </c>
      <c r="C93" s="23" t="s">
        <v>8903</v>
      </c>
      <c r="D93" s="23" t="s">
        <v>8903</v>
      </c>
      <c r="E93" s="23">
        <v>2</v>
      </c>
    </row>
    <row r="94" spans="1:5" x14ac:dyDescent="0.25">
      <c r="A94" s="24">
        <v>43</v>
      </c>
      <c r="B94" s="24" t="s">
        <v>8900</v>
      </c>
      <c r="C94" s="23" t="s">
        <v>8904</v>
      </c>
      <c r="D94" s="23" t="s">
        <v>8904</v>
      </c>
      <c r="E94" s="23">
        <v>2</v>
      </c>
    </row>
    <row r="95" spans="1:5" x14ac:dyDescent="0.25">
      <c r="A95" s="24">
        <v>44</v>
      </c>
      <c r="B95" s="24" t="s">
        <v>8900</v>
      </c>
      <c r="C95" s="23" t="s">
        <v>8905</v>
      </c>
      <c r="D95" s="23" t="s">
        <v>8905</v>
      </c>
      <c r="E95" s="23">
        <v>2</v>
      </c>
    </row>
    <row r="96" spans="1:5" x14ac:dyDescent="0.25">
      <c r="A96" s="24">
        <v>45</v>
      </c>
      <c r="B96" s="24" t="s">
        <v>8900</v>
      </c>
      <c r="C96" s="23" t="s">
        <v>8906</v>
      </c>
      <c r="D96" s="23" t="s">
        <v>8906</v>
      </c>
      <c r="E96" s="23">
        <v>2</v>
      </c>
    </row>
    <row r="97" spans="1:5" x14ac:dyDescent="0.25">
      <c r="A97" s="24">
        <v>46</v>
      </c>
      <c r="B97" s="24" t="s">
        <v>8900</v>
      </c>
      <c r="C97" s="23" t="s">
        <v>8907</v>
      </c>
      <c r="D97" s="23" t="s">
        <v>8907</v>
      </c>
      <c r="E97" s="23">
        <v>2</v>
      </c>
    </row>
    <row r="98" spans="1:5" x14ac:dyDescent="0.25">
      <c r="A98" s="24">
        <v>47</v>
      </c>
      <c r="B98" s="24" t="s">
        <v>8900</v>
      </c>
      <c r="C98" s="23" t="s">
        <v>8908</v>
      </c>
      <c r="D98" s="23" t="s">
        <v>8908</v>
      </c>
      <c r="E98" s="23">
        <v>2</v>
      </c>
    </row>
    <row r="99" spans="1:5" x14ac:dyDescent="0.25">
      <c r="A99" s="24">
        <v>48</v>
      </c>
      <c r="B99" s="24" t="s">
        <v>8900</v>
      </c>
      <c r="C99" s="23" t="s">
        <v>8909</v>
      </c>
      <c r="D99" s="23" t="s">
        <v>8909</v>
      </c>
      <c r="E99" s="23">
        <v>2</v>
      </c>
    </row>
    <row r="100" spans="1:5" x14ac:dyDescent="0.25">
      <c r="A100" s="24">
        <v>49</v>
      </c>
      <c r="B100" s="24" t="s">
        <v>8900</v>
      </c>
      <c r="C100" s="23" t="s">
        <v>8910</v>
      </c>
      <c r="D100" s="23" t="s">
        <v>8910</v>
      </c>
      <c r="E100" s="23">
        <v>2</v>
      </c>
    </row>
    <row r="101" spans="1:5" x14ac:dyDescent="0.25">
      <c r="A101" s="24">
        <v>50</v>
      </c>
      <c r="B101" s="24" t="s">
        <v>8900</v>
      </c>
      <c r="C101" s="23" t="s">
        <v>8911</v>
      </c>
      <c r="D101" s="23" t="s">
        <v>8911</v>
      </c>
      <c r="E101" s="23">
        <v>2</v>
      </c>
    </row>
    <row r="102" spans="1:5" x14ac:dyDescent="0.25">
      <c r="A102" s="24">
        <v>608</v>
      </c>
      <c r="B102" s="24" t="s">
        <v>8912</v>
      </c>
      <c r="C102" s="24" t="s">
        <v>8913</v>
      </c>
      <c r="D102" s="25" t="s">
        <v>8914</v>
      </c>
      <c r="E102" s="23">
        <v>2</v>
      </c>
    </row>
    <row r="103" spans="1:5" x14ac:dyDescent="0.25">
      <c r="A103" s="24">
        <v>608</v>
      </c>
      <c r="B103" s="24" t="s">
        <v>8912</v>
      </c>
      <c r="C103" s="24" t="s">
        <v>8913</v>
      </c>
      <c r="D103" s="23" t="s">
        <v>8915</v>
      </c>
      <c r="E103" s="23">
        <v>2</v>
      </c>
    </row>
    <row r="104" spans="1:5" x14ac:dyDescent="0.25">
      <c r="A104" s="24">
        <v>608</v>
      </c>
      <c r="B104" s="24" t="s">
        <v>8912</v>
      </c>
      <c r="C104" s="24" t="s">
        <v>8913</v>
      </c>
      <c r="D104" s="23" t="s">
        <v>8916</v>
      </c>
      <c r="E104" s="23">
        <v>2</v>
      </c>
    </row>
    <row r="105" spans="1:5" x14ac:dyDescent="0.25">
      <c r="A105" s="24">
        <v>608</v>
      </c>
      <c r="B105" s="24" t="s">
        <v>8912</v>
      </c>
      <c r="C105" s="24" t="s">
        <v>8913</v>
      </c>
      <c r="D105" s="23" t="s">
        <v>8917</v>
      </c>
      <c r="E105" s="23">
        <v>2</v>
      </c>
    </row>
    <row r="106" spans="1:5" x14ac:dyDescent="0.25">
      <c r="A106" s="24">
        <v>608</v>
      </c>
      <c r="B106" s="24" t="s">
        <v>8912</v>
      </c>
      <c r="C106" s="24" t="s">
        <v>8913</v>
      </c>
      <c r="D106" s="23" t="s">
        <v>8918</v>
      </c>
      <c r="E106" s="23">
        <v>2</v>
      </c>
    </row>
    <row r="107" spans="1:5" x14ac:dyDescent="0.25">
      <c r="A107" s="24">
        <v>608</v>
      </c>
      <c r="B107" s="24" t="s">
        <v>8912</v>
      </c>
      <c r="C107" s="24" t="s">
        <v>8913</v>
      </c>
      <c r="D107" s="23" t="s">
        <v>8919</v>
      </c>
      <c r="E107" s="23">
        <v>2</v>
      </c>
    </row>
    <row r="108" spans="1:5" x14ac:dyDescent="0.25">
      <c r="A108" s="24">
        <v>608</v>
      </c>
      <c r="B108" s="24" t="s">
        <v>8912</v>
      </c>
      <c r="C108" s="24" t="s">
        <v>8913</v>
      </c>
      <c r="D108" s="23" t="s">
        <v>8920</v>
      </c>
      <c r="E108" s="23">
        <v>2</v>
      </c>
    </row>
    <row r="109" spans="1:5" x14ac:dyDescent="0.25">
      <c r="A109" s="24">
        <v>608</v>
      </c>
      <c r="B109" s="24" t="s">
        <v>8912</v>
      </c>
      <c r="C109" s="24" t="s">
        <v>8913</v>
      </c>
      <c r="D109" s="23" t="s">
        <v>8921</v>
      </c>
      <c r="E109" s="23">
        <v>2</v>
      </c>
    </row>
    <row r="110" spans="1:5" x14ac:dyDescent="0.25">
      <c r="A110" s="24">
        <v>51</v>
      </c>
      <c r="B110" s="24" t="s">
        <v>8912</v>
      </c>
      <c r="C110" s="25" t="s">
        <v>8914</v>
      </c>
      <c r="D110" s="25" t="s">
        <v>8914</v>
      </c>
      <c r="E110" s="23">
        <v>2</v>
      </c>
    </row>
    <row r="111" spans="1:5" x14ac:dyDescent="0.25">
      <c r="A111" s="24">
        <v>52</v>
      </c>
      <c r="B111" s="24" t="s">
        <v>8912</v>
      </c>
      <c r="C111" s="23" t="s">
        <v>8915</v>
      </c>
      <c r="D111" s="23" t="s">
        <v>8915</v>
      </c>
      <c r="E111" s="23">
        <v>2</v>
      </c>
    </row>
    <row r="112" spans="1:5" x14ac:dyDescent="0.25">
      <c r="A112" s="24">
        <v>53</v>
      </c>
      <c r="B112" s="24" t="s">
        <v>8912</v>
      </c>
      <c r="C112" s="23" t="s">
        <v>8916</v>
      </c>
      <c r="D112" s="23" t="s">
        <v>8916</v>
      </c>
      <c r="E112" s="23">
        <v>2</v>
      </c>
    </row>
    <row r="113" spans="1:5" x14ac:dyDescent="0.25">
      <c r="A113" s="24">
        <v>54</v>
      </c>
      <c r="B113" s="24" t="s">
        <v>8912</v>
      </c>
      <c r="C113" s="23" t="s">
        <v>8917</v>
      </c>
      <c r="D113" s="23" t="s">
        <v>8917</v>
      </c>
      <c r="E113" s="23">
        <v>2</v>
      </c>
    </row>
    <row r="114" spans="1:5" x14ac:dyDescent="0.25">
      <c r="A114" s="24">
        <v>55</v>
      </c>
      <c r="B114" s="24" t="s">
        <v>8912</v>
      </c>
      <c r="C114" s="23" t="s">
        <v>8918</v>
      </c>
      <c r="D114" s="23" t="s">
        <v>8918</v>
      </c>
      <c r="E114" s="23">
        <v>2</v>
      </c>
    </row>
    <row r="115" spans="1:5" x14ac:dyDescent="0.25">
      <c r="A115" s="24">
        <v>56</v>
      </c>
      <c r="B115" s="24" t="s">
        <v>8912</v>
      </c>
      <c r="C115" s="23" t="s">
        <v>8919</v>
      </c>
      <c r="D115" s="23" t="s">
        <v>8919</v>
      </c>
      <c r="E115" s="23">
        <v>2</v>
      </c>
    </row>
    <row r="116" spans="1:5" x14ac:dyDescent="0.25">
      <c r="A116" s="24">
        <v>57</v>
      </c>
      <c r="B116" s="24" t="s">
        <v>8912</v>
      </c>
      <c r="C116" s="23" t="s">
        <v>8920</v>
      </c>
      <c r="D116" s="23" t="s">
        <v>8920</v>
      </c>
      <c r="E116" s="23">
        <v>2</v>
      </c>
    </row>
    <row r="117" spans="1:5" x14ac:dyDescent="0.25">
      <c r="A117" s="24">
        <v>58</v>
      </c>
      <c r="B117" s="24" t="s">
        <v>8912</v>
      </c>
      <c r="C117" s="23" t="s">
        <v>8921</v>
      </c>
      <c r="D117" s="23" t="s">
        <v>8921</v>
      </c>
      <c r="E117" s="23">
        <v>2</v>
      </c>
    </row>
    <row r="118" spans="1:5" x14ac:dyDescent="0.25">
      <c r="A118" s="24">
        <v>609</v>
      </c>
      <c r="B118" s="24" t="s">
        <v>8922</v>
      </c>
      <c r="C118" s="24" t="s">
        <v>8923</v>
      </c>
      <c r="D118" s="25" t="s">
        <v>8924</v>
      </c>
      <c r="E118" s="23">
        <v>2</v>
      </c>
    </row>
    <row r="119" spans="1:5" x14ac:dyDescent="0.25">
      <c r="A119" s="24">
        <v>609</v>
      </c>
      <c r="B119" s="24" t="s">
        <v>8922</v>
      </c>
      <c r="C119" s="24" t="s">
        <v>8923</v>
      </c>
      <c r="D119" s="23" t="s">
        <v>8925</v>
      </c>
      <c r="E119" s="23">
        <v>2</v>
      </c>
    </row>
    <row r="120" spans="1:5" x14ac:dyDescent="0.25">
      <c r="A120" s="24">
        <v>609</v>
      </c>
      <c r="B120" s="24" t="s">
        <v>8922</v>
      </c>
      <c r="C120" s="24" t="s">
        <v>8923</v>
      </c>
      <c r="D120" s="23" t="s">
        <v>8926</v>
      </c>
      <c r="E120" s="23">
        <v>2</v>
      </c>
    </row>
    <row r="121" spans="1:5" x14ac:dyDescent="0.25">
      <c r="A121" s="24">
        <v>609</v>
      </c>
      <c r="B121" s="24" t="s">
        <v>8922</v>
      </c>
      <c r="C121" s="24" t="s">
        <v>8923</v>
      </c>
      <c r="D121" s="23" t="s">
        <v>8927</v>
      </c>
      <c r="E121" s="23">
        <v>2</v>
      </c>
    </row>
    <row r="122" spans="1:5" x14ac:dyDescent="0.25">
      <c r="A122" s="24">
        <v>609</v>
      </c>
      <c r="B122" s="24" t="s">
        <v>8922</v>
      </c>
      <c r="C122" s="24" t="s">
        <v>8923</v>
      </c>
      <c r="D122" s="23" t="s">
        <v>8928</v>
      </c>
      <c r="E122" s="23">
        <v>2</v>
      </c>
    </row>
    <row r="123" spans="1:5" x14ac:dyDescent="0.25">
      <c r="A123" s="24">
        <v>609</v>
      </c>
      <c r="B123" s="24" t="s">
        <v>8922</v>
      </c>
      <c r="C123" s="24" t="s">
        <v>8923</v>
      </c>
      <c r="D123" s="23" t="s">
        <v>8929</v>
      </c>
      <c r="E123" s="23">
        <v>2</v>
      </c>
    </row>
    <row r="124" spans="1:5" x14ac:dyDescent="0.25">
      <c r="A124" s="24">
        <v>609</v>
      </c>
      <c r="B124" s="24" t="s">
        <v>8922</v>
      </c>
      <c r="C124" s="24" t="s">
        <v>8923</v>
      </c>
      <c r="D124" s="23" t="s">
        <v>8930</v>
      </c>
      <c r="E124" s="23">
        <v>2</v>
      </c>
    </row>
    <row r="125" spans="1:5" x14ac:dyDescent="0.25">
      <c r="A125" s="24">
        <v>609</v>
      </c>
      <c r="B125" s="24" t="s">
        <v>8922</v>
      </c>
      <c r="C125" s="24" t="s">
        <v>8923</v>
      </c>
      <c r="D125" s="23" t="s">
        <v>8931</v>
      </c>
      <c r="E125" s="23">
        <v>2</v>
      </c>
    </row>
    <row r="126" spans="1:5" x14ac:dyDescent="0.25">
      <c r="A126" s="24">
        <v>609</v>
      </c>
      <c r="B126" s="24" t="s">
        <v>8922</v>
      </c>
      <c r="C126" s="24" t="s">
        <v>8923</v>
      </c>
      <c r="D126" s="23" t="s">
        <v>8932</v>
      </c>
      <c r="E126" s="23">
        <v>2</v>
      </c>
    </row>
    <row r="127" spans="1:5" x14ac:dyDescent="0.25">
      <c r="A127" s="24">
        <v>609</v>
      </c>
      <c r="B127" s="24" t="s">
        <v>8922</v>
      </c>
      <c r="C127" s="24" t="s">
        <v>8923</v>
      </c>
      <c r="D127" s="23" t="s">
        <v>8933</v>
      </c>
      <c r="E127" s="23">
        <v>2</v>
      </c>
    </row>
    <row r="128" spans="1:5" x14ac:dyDescent="0.25">
      <c r="A128" s="24">
        <v>609</v>
      </c>
      <c r="B128" s="24" t="s">
        <v>8922</v>
      </c>
      <c r="C128" s="24" t="s">
        <v>8923</v>
      </c>
      <c r="D128" s="23" t="s">
        <v>8934</v>
      </c>
      <c r="E128" s="23">
        <v>2</v>
      </c>
    </row>
    <row r="129" spans="1:5" x14ac:dyDescent="0.25">
      <c r="A129" s="24">
        <v>609</v>
      </c>
      <c r="B129" s="24" t="s">
        <v>8922</v>
      </c>
      <c r="C129" s="24" t="s">
        <v>8923</v>
      </c>
      <c r="D129" s="23" t="s">
        <v>8935</v>
      </c>
      <c r="E129" s="23">
        <v>2</v>
      </c>
    </row>
    <row r="130" spans="1:5" x14ac:dyDescent="0.25">
      <c r="A130" s="24">
        <v>609</v>
      </c>
      <c r="B130" s="24" t="s">
        <v>8922</v>
      </c>
      <c r="C130" s="24" t="s">
        <v>8923</v>
      </c>
      <c r="D130" s="23" t="s">
        <v>8936</v>
      </c>
      <c r="E130" s="23">
        <v>2</v>
      </c>
    </row>
    <row r="131" spans="1:5" x14ac:dyDescent="0.25">
      <c r="A131" s="24">
        <v>609</v>
      </c>
      <c r="B131" s="24" t="s">
        <v>8922</v>
      </c>
      <c r="C131" s="24" t="s">
        <v>8923</v>
      </c>
      <c r="D131" s="23" t="s">
        <v>8937</v>
      </c>
      <c r="E131" s="23">
        <v>2</v>
      </c>
    </row>
    <row r="132" spans="1:5" x14ac:dyDescent="0.25">
      <c r="A132" s="24">
        <v>609</v>
      </c>
      <c r="B132" s="24" t="s">
        <v>8922</v>
      </c>
      <c r="C132" s="24" t="s">
        <v>8923</v>
      </c>
      <c r="D132" s="23" t="s">
        <v>8938</v>
      </c>
      <c r="E132" s="23">
        <v>2</v>
      </c>
    </row>
    <row r="133" spans="1:5" x14ac:dyDescent="0.25">
      <c r="A133" s="24">
        <v>609</v>
      </c>
      <c r="B133" s="24" t="s">
        <v>8922</v>
      </c>
      <c r="C133" s="24" t="s">
        <v>8923</v>
      </c>
      <c r="D133" s="23" t="s">
        <v>8939</v>
      </c>
      <c r="E133" s="23">
        <v>2</v>
      </c>
    </row>
    <row r="134" spans="1:5" x14ac:dyDescent="0.25">
      <c r="A134" s="24">
        <v>609</v>
      </c>
      <c r="B134" s="24" t="s">
        <v>8922</v>
      </c>
      <c r="C134" s="24" t="s">
        <v>8923</v>
      </c>
      <c r="D134" s="23" t="s">
        <v>8940</v>
      </c>
      <c r="E134" s="23">
        <v>2</v>
      </c>
    </row>
    <row r="135" spans="1:5" x14ac:dyDescent="0.25">
      <c r="A135" s="24">
        <v>609</v>
      </c>
      <c r="B135" s="24" t="s">
        <v>8922</v>
      </c>
      <c r="C135" s="24" t="s">
        <v>8923</v>
      </c>
      <c r="D135" s="23" t="s">
        <v>8941</v>
      </c>
      <c r="E135" s="23">
        <v>2</v>
      </c>
    </row>
    <row r="136" spans="1:5" x14ac:dyDescent="0.25">
      <c r="A136" s="24">
        <v>609</v>
      </c>
      <c r="B136" s="24" t="s">
        <v>8922</v>
      </c>
      <c r="C136" s="24" t="s">
        <v>8923</v>
      </c>
      <c r="D136" s="23" t="s">
        <v>8942</v>
      </c>
      <c r="E136" s="23">
        <v>2</v>
      </c>
    </row>
    <row r="137" spans="1:5" x14ac:dyDescent="0.25">
      <c r="A137" s="24">
        <v>609</v>
      </c>
      <c r="B137" s="24" t="s">
        <v>8922</v>
      </c>
      <c r="C137" s="24" t="s">
        <v>8923</v>
      </c>
      <c r="D137" s="23" t="s">
        <v>8943</v>
      </c>
      <c r="E137" s="23">
        <v>2</v>
      </c>
    </row>
    <row r="138" spans="1:5" x14ac:dyDescent="0.25">
      <c r="A138" s="24">
        <v>609</v>
      </c>
      <c r="B138" s="24" t="s">
        <v>8922</v>
      </c>
      <c r="C138" s="24" t="s">
        <v>8923</v>
      </c>
      <c r="D138" s="23" t="s">
        <v>8944</v>
      </c>
      <c r="E138" s="23">
        <v>2</v>
      </c>
    </row>
    <row r="139" spans="1:5" x14ac:dyDescent="0.25">
      <c r="A139" s="24">
        <v>609</v>
      </c>
      <c r="B139" s="24" t="s">
        <v>8922</v>
      </c>
      <c r="C139" s="24" t="s">
        <v>8923</v>
      </c>
      <c r="D139" s="23" t="s">
        <v>8945</v>
      </c>
      <c r="E139" s="23">
        <v>2</v>
      </c>
    </row>
    <row r="140" spans="1:5" x14ac:dyDescent="0.25">
      <c r="A140" s="24">
        <v>609</v>
      </c>
      <c r="B140" s="24" t="s">
        <v>8922</v>
      </c>
      <c r="C140" s="24" t="s">
        <v>8923</v>
      </c>
      <c r="D140" s="23" t="s">
        <v>8946</v>
      </c>
      <c r="E140" s="23">
        <v>2</v>
      </c>
    </row>
    <row r="141" spans="1:5" x14ac:dyDescent="0.25">
      <c r="A141" s="24">
        <v>609</v>
      </c>
      <c r="B141" s="24" t="s">
        <v>8922</v>
      </c>
      <c r="C141" s="24" t="s">
        <v>8923</v>
      </c>
      <c r="D141" s="23" t="s">
        <v>8947</v>
      </c>
      <c r="E141" s="23">
        <v>2</v>
      </c>
    </row>
    <row r="142" spans="1:5" x14ac:dyDescent="0.25">
      <c r="A142" s="24">
        <v>609</v>
      </c>
      <c r="B142" s="24" t="s">
        <v>8922</v>
      </c>
      <c r="C142" s="24" t="s">
        <v>8923</v>
      </c>
      <c r="D142" s="23" t="s">
        <v>8948</v>
      </c>
      <c r="E142" s="23">
        <v>2</v>
      </c>
    </row>
    <row r="143" spans="1:5" x14ac:dyDescent="0.25">
      <c r="A143" s="24">
        <v>609</v>
      </c>
      <c r="B143" s="24" t="s">
        <v>8922</v>
      </c>
      <c r="C143" s="24" t="s">
        <v>8923</v>
      </c>
      <c r="D143" s="23" t="s">
        <v>8949</v>
      </c>
      <c r="E143" s="23">
        <v>2</v>
      </c>
    </row>
    <row r="144" spans="1:5" x14ac:dyDescent="0.25">
      <c r="A144" s="24">
        <v>609</v>
      </c>
      <c r="B144" s="24" t="s">
        <v>8922</v>
      </c>
      <c r="C144" s="24" t="s">
        <v>8923</v>
      </c>
      <c r="D144" s="23" t="s">
        <v>8950</v>
      </c>
      <c r="E144" s="23">
        <v>2</v>
      </c>
    </row>
    <row r="145" spans="1:5" x14ac:dyDescent="0.25">
      <c r="A145" s="24">
        <v>609</v>
      </c>
      <c r="B145" s="24" t="s">
        <v>8922</v>
      </c>
      <c r="C145" s="24" t="s">
        <v>8923</v>
      </c>
      <c r="D145" s="23" t="s">
        <v>8951</v>
      </c>
      <c r="E145" s="23">
        <v>2</v>
      </c>
    </row>
    <row r="146" spans="1:5" x14ac:dyDescent="0.25">
      <c r="A146" s="24">
        <v>609</v>
      </c>
      <c r="B146" s="24" t="s">
        <v>8922</v>
      </c>
      <c r="C146" s="24" t="s">
        <v>8923</v>
      </c>
      <c r="D146" s="23" t="s">
        <v>8952</v>
      </c>
      <c r="E146" s="23">
        <v>2</v>
      </c>
    </row>
    <row r="147" spans="1:5" x14ac:dyDescent="0.25">
      <c r="A147" s="24">
        <v>609</v>
      </c>
      <c r="B147" s="24" t="s">
        <v>8922</v>
      </c>
      <c r="C147" s="24" t="s">
        <v>8923</v>
      </c>
      <c r="D147" s="23" t="s">
        <v>8953</v>
      </c>
      <c r="E147" s="23">
        <v>2</v>
      </c>
    </row>
    <row r="148" spans="1:5" x14ac:dyDescent="0.25">
      <c r="A148" s="24">
        <v>59</v>
      </c>
      <c r="B148" s="24" t="s">
        <v>8922</v>
      </c>
      <c r="C148" s="25" t="s">
        <v>8924</v>
      </c>
      <c r="D148" s="25" t="s">
        <v>8924</v>
      </c>
      <c r="E148" s="23">
        <v>2</v>
      </c>
    </row>
    <row r="149" spans="1:5" x14ac:dyDescent="0.25">
      <c r="A149" s="24">
        <v>60</v>
      </c>
      <c r="B149" s="24" t="s">
        <v>8922</v>
      </c>
      <c r="C149" s="23" t="s">
        <v>8925</v>
      </c>
      <c r="D149" s="23" t="s">
        <v>8925</v>
      </c>
      <c r="E149" s="23">
        <v>2</v>
      </c>
    </row>
    <row r="150" spans="1:5" x14ac:dyDescent="0.25">
      <c r="A150" s="24">
        <v>61</v>
      </c>
      <c r="B150" s="24" t="s">
        <v>8922</v>
      </c>
      <c r="C150" s="23" t="s">
        <v>8926</v>
      </c>
      <c r="D150" s="23" t="s">
        <v>8926</v>
      </c>
      <c r="E150" s="23">
        <v>2</v>
      </c>
    </row>
    <row r="151" spans="1:5" x14ac:dyDescent="0.25">
      <c r="A151" s="24">
        <v>62</v>
      </c>
      <c r="B151" s="24" t="s">
        <v>8922</v>
      </c>
      <c r="C151" s="23" t="s">
        <v>8927</v>
      </c>
      <c r="D151" s="23" t="s">
        <v>8927</v>
      </c>
      <c r="E151" s="23">
        <v>2</v>
      </c>
    </row>
    <row r="152" spans="1:5" x14ac:dyDescent="0.25">
      <c r="A152" s="24">
        <v>63</v>
      </c>
      <c r="B152" s="24" t="s">
        <v>8922</v>
      </c>
      <c r="C152" s="23" t="s">
        <v>8928</v>
      </c>
      <c r="D152" s="23" t="s">
        <v>8928</v>
      </c>
      <c r="E152" s="23">
        <v>2</v>
      </c>
    </row>
    <row r="153" spans="1:5" x14ac:dyDescent="0.25">
      <c r="A153" s="24">
        <v>64</v>
      </c>
      <c r="B153" s="24" t="s">
        <v>8922</v>
      </c>
      <c r="C153" s="23" t="s">
        <v>8929</v>
      </c>
      <c r="D153" s="23" t="s">
        <v>8929</v>
      </c>
      <c r="E153" s="23">
        <v>2</v>
      </c>
    </row>
    <row r="154" spans="1:5" x14ac:dyDescent="0.25">
      <c r="A154" s="24">
        <v>65</v>
      </c>
      <c r="B154" s="24" t="s">
        <v>8922</v>
      </c>
      <c r="C154" s="23" t="s">
        <v>8930</v>
      </c>
      <c r="D154" s="23" t="s">
        <v>8930</v>
      </c>
      <c r="E154" s="23">
        <v>2</v>
      </c>
    </row>
    <row r="155" spans="1:5" x14ac:dyDescent="0.25">
      <c r="A155" s="24">
        <v>66</v>
      </c>
      <c r="B155" s="24" t="s">
        <v>8922</v>
      </c>
      <c r="C155" s="23" t="s">
        <v>8931</v>
      </c>
      <c r="D155" s="23" t="s">
        <v>8931</v>
      </c>
      <c r="E155" s="23">
        <v>2</v>
      </c>
    </row>
    <row r="156" spans="1:5" x14ac:dyDescent="0.25">
      <c r="A156" s="24">
        <v>67</v>
      </c>
      <c r="B156" s="24" t="s">
        <v>8922</v>
      </c>
      <c r="C156" s="23" t="s">
        <v>8932</v>
      </c>
      <c r="D156" s="23" t="s">
        <v>8932</v>
      </c>
      <c r="E156" s="23">
        <v>2</v>
      </c>
    </row>
    <row r="157" spans="1:5" x14ac:dyDescent="0.25">
      <c r="A157" s="24">
        <v>68</v>
      </c>
      <c r="B157" s="24" t="s">
        <v>8922</v>
      </c>
      <c r="C157" s="23" t="s">
        <v>8933</v>
      </c>
      <c r="D157" s="23" t="s">
        <v>8933</v>
      </c>
      <c r="E157" s="23">
        <v>2</v>
      </c>
    </row>
    <row r="158" spans="1:5" x14ac:dyDescent="0.25">
      <c r="A158" s="24">
        <v>69</v>
      </c>
      <c r="B158" s="24" t="s">
        <v>8922</v>
      </c>
      <c r="C158" s="23" t="s">
        <v>8934</v>
      </c>
      <c r="D158" s="23" t="s">
        <v>8934</v>
      </c>
      <c r="E158" s="23">
        <v>2</v>
      </c>
    </row>
    <row r="159" spans="1:5" x14ac:dyDescent="0.25">
      <c r="A159" s="24">
        <v>70</v>
      </c>
      <c r="B159" s="24" t="s">
        <v>8922</v>
      </c>
      <c r="C159" s="23" t="s">
        <v>8935</v>
      </c>
      <c r="D159" s="23" t="s">
        <v>8935</v>
      </c>
      <c r="E159" s="23">
        <v>2</v>
      </c>
    </row>
    <row r="160" spans="1:5" x14ac:dyDescent="0.25">
      <c r="A160" s="24">
        <v>71</v>
      </c>
      <c r="B160" s="24" t="s">
        <v>8922</v>
      </c>
      <c r="C160" s="23" t="s">
        <v>8936</v>
      </c>
      <c r="D160" s="23" t="s">
        <v>8936</v>
      </c>
      <c r="E160" s="23">
        <v>2</v>
      </c>
    </row>
    <row r="161" spans="1:5" x14ac:dyDescent="0.25">
      <c r="A161" s="24">
        <v>72</v>
      </c>
      <c r="B161" s="24" t="s">
        <v>8922</v>
      </c>
      <c r="C161" s="23" t="s">
        <v>8937</v>
      </c>
      <c r="D161" s="23" t="s">
        <v>8937</v>
      </c>
      <c r="E161" s="23">
        <v>2</v>
      </c>
    </row>
    <row r="162" spans="1:5" x14ac:dyDescent="0.25">
      <c r="A162" s="24">
        <v>73</v>
      </c>
      <c r="B162" s="24" t="s">
        <v>8922</v>
      </c>
      <c r="C162" s="23" t="s">
        <v>8938</v>
      </c>
      <c r="D162" s="23" t="s">
        <v>8938</v>
      </c>
      <c r="E162" s="23">
        <v>2</v>
      </c>
    </row>
    <row r="163" spans="1:5" x14ac:dyDescent="0.25">
      <c r="A163" s="24">
        <v>74</v>
      </c>
      <c r="B163" s="24" t="s">
        <v>8922</v>
      </c>
      <c r="C163" s="23" t="s">
        <v>8939</v>
      </c>
      <c r="D163" s="23" t="s">
        <v>8939</v>
      </c>
      <c r="E163" s="23">
        <v>2</v>
      </c>
    </row>
    <row r="164" spans="1:5" x14ac:dyDescent="0.25">
      <c r="A164" s="24">
        <v>75</v>
      </c>
      <c r="B164" s="24" t="s">
        <v>8922</v>
      </c>
      <c r="C164" s="23" t="s">
        <v>8940</v>
      </c>
      <c r="D164" s="23" t="s">
        <v>8940</v>
      </c>
      <c r="E164" s="23">
        <v>2</v>
      </c>
    </row>
    <row r="165" spans="1:5" x14ac:dyDescent="0.25">
      <c r="A165" s="24">
        <v>76</v>
      </c>
      <c r="B165" s="24" t="s">
        <v>8922</v>
      </c>
      <c r="C165" s="23" t="s">
        <v>8941</v>
      </c>
      <c r="D165" s="23" t="s">
        <v>8941</v>
      </c>
      <c r="E165" s="23">
        <v>2</v>
      </c>
    </row>
    <row r="166" spans="1:5" x14ac:dyDescent="0.25">
      <c r="A166" s="24">
        <v>77</v>
      </c>
      <c r="B166" s="24" t="s">
        <v>8922</v>
      </c>
      <c r="C166" s="23" t="s">
        <v>8942</v>
      </c>
      <c r="D166" s="23" t="s">
        <v>8942</v>
      </c>
      <c r="E166" s="23">
        <v>2</v>
      </c>
    </row>
    <row r="167" spans="1:5" x14ac:dyDescent="0.25">
      <c r="A167" s="24">
        <v>78</v>
      </c>
      <c r="B167" s="24" t="s">
        <v>8922</v>
      </c>
      <c r="C167" s="23" t="s">
        <v>8943</v>
      </c>
      <c r="D167" s="23" t="s">
        <v>8943</v>
      </c>
      <c r="E167" s="23">
        <v>2</v>
      </c>
    </row>
    <row r="168" spans="1:5" x14ac:dyDescent="0.25">
      <c r="A168" s="24">
        <v>79</v>
      </c>
      <c r="B168" s="24" t="s">
        <v>8922</v>
      </c>
      <c r="C168" s="23" t="s">
        <v>8944</v>
      </c>
      <c r="D168" s="23" t="s">
        <v>8944</v>
      </c>
      <c r="E168" s="23">
        <v>2</v>
      </c>
    </row>
    <row r="169" spans="1:5" x14ac:dyDescent="0.25">
      <c r="A169" s="24">
        <v>80</v>
      </c>
      <c r="B169" s="24" t="s">
        <v>8922</v>
      </c>
      <c r="C169" s="23" t="s">
        <v>8945</v>
      </c>
      <c r="D169" s="23" t="s">
        <v>8945</v>
      </c>
      <c r="E169" s="23">
        <v>2</v>
      </c>
    </row>
    <row r="170" spans="1:5" x14ac:dyDescent="0.25">
      <c r="A170" s="24">
        <v>81</v>
      </c>
      <c r="B170" s="24" t="s">
        <v>8922</v>
      </c>
      <c r="C170" s="23" t="s">
        <v>8946</v>
      </c>
      <c r="D170" s="23" t="s">
        <v>8946</v>
      </c>
      <c r="E170" s="23">
        <v>2</v>
      </c>
    </row>
    <row r="171" spans="1:5" x14ac:dyDescent="0.25">
      <c r="A171" s="24">
        <v>82</v>
      </c>
      <c r="B171" s="24" t="s">
        <v>8922</v>
      </c>
      <c r="C171" s="23" t="s">
        <v>8947</v>
      </c>
      <c r="D171" s="23" t="s">
        <v>8947</v>
      </c>
      <c r="E171" s="23">
        <v>2</v>
      </c>
    </row>
    <row r="172" spans="1:5" x14ac:dyDescent="0.25">
      <c r="A172" s="24">
        <v>83</v>
      </c>
      <c r="B172" s="24" t="s">
        <v>8922</v>
      </c>
      <c r="C172" s="23" t="s">
        <v>8948</v>
      </c>
      <c r="D172" s="23" t="s">
        <v>8948</v>
      </c>
      <c r="E172" s="23">
        <v>2</v>
      </c>
    </row>
    <row r="173" spans="1:5" x14ac:dyDescent="0.25">
      <c r="A173" s="24">
        <v>84</v>
      </c>
      <c r="B173" s="24" t="s">
        <v>8922</v>
      </c>
      <c r="C173" s="23" t="s">
        <v>8949</v>
      </c>
      <c r="D173" s="23" t="s">
        <v>8949</v>
      </c>
      <c r="E173" s="23">
        <v>2</v>
      </c>
    </row>
    <row r="174" spans="1:5" x14ac:dyDescent="0.25">
      <c r="A174" s="24">
        <v>85</v>
      </c>
      <c r="B174" s="24" t="s">
        <v>8922</v>
      </c>
      <c r="C174" s="23" t="s">
        <v>8950</v>
      </c>
      <c r="D174" s="23" t="s">
        <v>8950</v>
      </c>
      <c r="E174" s="23">
        <v>2</v>
      </c>
    </row>
    <row r="175" spans="1:5" x14ac:dyDescent="0.25">
      <c r="A175" s="24">
        <v>86</v>
      </c>
      <c r="B175" s="24" t="s">
        <v>8922</v>
      </c>
      <c r="C175" s="23" t="s">
        <v>8951</v>
      </c>
      <c r="D175" s="23" t="s">
        <v>8951</v>
      </c>
      <c r="E175" s="23">
        <v>2</v>
      </c>
    </row>
    <row r="176" spans="1:5" x14ac:dyDescent="0.25">
      <c r="A176" s="24">
        <v>87</v>
      </c>
      <c r="B176" s="24" t="s">
        <v>8922</v>
      </c>
      <c r="C176" s="23" t="s">
        <v>8952</v>
      </c>
      <c r="D176" s="23" t="s">
        <v>8952</v>
      </c>
      <c r="E176" s="23">
        <v>2</v>
      </c>
    </row>
    <row r="177" spans="1:5" x14ac:dyDescent="0.25">
      <c r="A177" s="24">
        <v>88</v>
      </c>
      <c r="B177" s="24" t="s">
        <v>8922</v>
      </c>
      <c r="C177" s="23" t="s">
        <v>8953</v>
      </c>
      <c r="D177" s="23" t="s">
        <v>8953</v>
      </c>
      <c r="E177" s="23">
        <v>2</v>
      </c>
    </row>
    <row r="178" spans="1:5" x14ac:dyDescent="0.25">
      <c r="A178" s="24">
        <v>610</v>
      </c>
      <c r="B178" s="24" t="s">
        <v>8954</v>
      </c>
      <c r="C178" s="24" t="s">
        <v>8955</v>
      </c>
      <c r="D178" s="25" t="s">
        <v>8956</v>
      </c>
      <c r="E178" s="23">
        <v>2</v>
      </c>
    </row>
    <row r="179" spans="1:5" x14ac:dyDescent="0.25">
      <c r="A179" s="24">
        <v>610</v>
      </c>
      <c r="B179" s="24" t="s">
        <v>8954</v>
      </c>
      <c r="C179" s="24" t="s">
        <v>8955</v>
      </c>
      <c r="D179" s="23" t="s">
        <v>8957</v>
      </c>
      <c r="E179" s="23">
        <v>2</v>
      </c>
    </row>
    <row r="180" spans="1:5" x14ac:dyDescent="0.25">
      <c r="A180" s="24">
        <v>610</v>
      </c>
      <c r="B180" s="24" t="s">
        <v>8954</v>
      </c>
      <c r="C180" s="24" t="s">
        <v>8955</v>
      </c>
      <c r="D180" s="23" t="s">
        <v>8958</v>
      </c>
      <c r="E180" s="23">
        <v>2</v>
      </c>
    </row>
    <row r="181" spans="1:5" x14ac:dyDescent="0.25">
      <c r="A181" s="24">
        <v>610</v>
      </c>
      <c r="B181" s="24" t="s">
        <v>8954</v>
      </c>
      <c r="C181" s="24" t="s">
        <v>8955</v>
      </c>
      <c r="D181" s="23" t="s">
        <v>8959</v>
      </c>
      <c r="E181" s="23">
        <v>2</v>
      </c>
    </row>
    <row r="182" spans="1:5" x14ac:dyDescent="0.25">
      <c r="A182" s="24">
        <v>610</v>
      </c>
      <c r="B182" s="24" t="s">
        <v>8954</v>
      </c>
      <c r="C182" s="24" t="s">
        <v>8955</v>
      </c>
      <c r="D182" s="23" t="s">
        <v>8960</v>
      </c>
      <c r="E182" s="23">
        <v>2</v>
      </c>
    </row>
    <row r="183" spans="1:5" x14ac:dyDescent="0.25">
      <c r="A183" s="24">
        <v>610</v>
      </c>
      <c r="B183" s="24" t="s">
        <v>8954</v>
      </c>
      <c r="C183" s="24" t="s">
        <v>8955</v>
      </c>
      <c r="D183" s="23" t="s">
        <v>8961</v>
      </c>
      <c r="E183" s="23">
        <v>2</v>
      </c>
    </row>
    <row r="184" spans="1:5" x14ac:dyDescent="0.25">
      <c r="A184" s="24">
        <v>610</v>
      </c>
      <c r="B184" s="24" t="s">
        <v>8954</v>
      </c>
      <c r="C184" s="24" t="s">
        <v>8955</v>
      </c>
      <c r="D184" s="23" t="s">
        <v>8962</v>
      </c>
      <c r="E184" s="23">
        <v>2</v>
      </c>
    </row>
    <row r="185" spans="1:5" x14ac:dyDescent="0.25">
      <c r="A185" s="24">
        <v>610</v>
      </c>
      <c r="B185" s="24" t="s">
        <v>8954</v>
      </c>
      <c r="C185" s="24" t="s">
        <v>8955</v>
      </c>
      <c r="D185" s="23" t="s">
        <v>8963</v>
      </c>
      <c r="E185" s="23">
        <v>2</v>
      </c>
    </row>
    <row r="186" spans="1:5" x14ac:dyDescent="0.25">
      <c r="A186" s="24">
        <v>610</v>
      </c>
      <c r="B186" s="24" t="s">
        <v>8954</v>
      </c>
      <c r="C186" s="24" t="s">
        <v>8955</v>
      </c>
      <c r="D186" s="23" t="s">
        <v>8964</v>
      </c>
      <c r="E186" s="23">
        <v>2</v>
      </c>
    </row>
    <row r="187" spans="1:5" x14ac:dyDescent="0.25">
      <c r="A187" s="24">
        <v>610</v>
      </c>
      <c r="B187" s="24" t="s">
        <v>8954</v>
      </c>
      <c r="C187" s="24" t="s">
        <v>8955</v>
      </c>
      <c r="D187" s="23" t="s">
        <v>8965</v>
      </c>
      <c r="E187" s="23">
        <v>2</v>
      </c>
    </row>
    <row r="188" spans="1:5" x14ac:dyDescent="0.25">
      <c r="A188" s="24">
        <v>610</v>
      </c>
      <c r="B188" s="24" t="s">
        <v>8954</v>
      </c>
      <c r="C188" s="24" t="s">
        <v>8955</v>
      </c>
      <c r="D188" s="23" t="s">
        <v>8966</v>
      </c>
      <c r="E188" s="23">
        <v>2</v>
      </c>
    </row>
    <row r="189" spans="1:5" x14ac:dyDescent="0.25">
      <c r="A189" s="24">
        <v>610</v>
      </c>
      <c r="B189" s="24" t="s">
        <v>8954</v>
      </c>
      <c r="C189" s="24" t="s">
        <v>8955</v>
      </c>
      <c r="D189" s="23" t="s">
        <v>8967</v>
      </c>
      <c r="E189" s="23">
        <v>2</v>
      </c>
    </row>
    <row r="190" spans="1:5" x14ac:dyDescent="0.25">
      <c r="A190" s="24">
        <v>610</v>
      </c>
      <c r="B190" s="24" t="s">
        <v>8954</v>
      </c>
      <c r="C190" s="24" t="s">
        <v>8955</v>
      </c>
      <c r="D190" s="23" t="s">
        <v>8968</v>
      </c>
      <c r="E190" s="23">
        <v>2</v>
      </c>
    </row>
    <row r="191" spans="1:5" x14ac:dyDescent="0.25">
      <c r="A191" s="24">
        <v>89</v>
      </c>
      <c r="B191" s="24" t="s">
        <v>8954</v>
      </c>
      <c r="C191" s="25" t="s">
        <v>8956</v>
      </c>
      <c r="D191" s="25" t="s">
        <v>8956</v>
      </c>
      <c r="E191" s="23">
        <v>2</v>
      </c>
    </row>
    <row r="192" spans="1:5" x14ac:dyDescent="0.25">
      <c r="A192" s="24">
        <v>90</v>
      </c>
      <c r="B192" s="24" t="s">
        <v>8954</v>
      </c>
      <c r="C192" s="23" t="s">
        <v>8957</v>
      </c>
      <c r="D192" s="23" t="s">
        <v>8957</v>
      </c>
      <c r="E192" s="23">
        <v>2</v>
      </c>
    </row>
    <row r="193" spans="1:5" x14ac:dyDescent="0.25">
      <c r="A193" s="24">
        <v>91</v>
      </c>
      <c r="B193" s="24" t="s">
        <v>8954</v>
      </c>
      <c r="C193" s="23" t="s">
        <v>8958</v>
      </c>
      <c r="D193" s="23" t="s">
        <v>8958</v>
      </c>
      <c r="E193" s="23">
        <v>2</v>
      </c>
    </row>
    <row r="194" spans="1:5" x14ac:dyDescent="0.25">
      <c r="A194" s="24">
        <v>92</v>
      </c>
      <c r="B194" s="24" t="s">
        <v>8954</v>
      </c>
      <c r="C194" s="23" t="s">
        <v>8959</v>
      </c>
      <c r="D194" s="23" t="s">
        <v>8959</v>
      </c>
      <c r="E194" s="23">
        <v>2</v>
      </c>
    </row>
    <row r="195" spans="1:5" x14ac:dyDescent="0.25">
      <c r="A195" s="24">
        <v>93</v>
      </c>
      <c r="B195" s="24" t="s">
        <v>8954</v>
      </c>
      <c r="C195" s="23" t="s">
        <v>8960</v>
      </c>
      <c r="D195" s="23" t="s">
        <v>8960</v>
      </c>
      <c r="E195" s="23">
        <v>2</v>
      </c>
    </row>
    <row r="196" spans="1:5" x14ac:dyDescent="0.25">
      <c r="A196" s="24">
        <v>94</v>
      </c>
      <c r="B196" s="24" t="s">
        <v>8954</v>
      </c>
      <c r="C196" s="23" t="s">
        <v>8961</v>
      </c>
      <c r="D196" s="23" t="s">
        <v>8961</v>
      </c>
      <c r="E196" s="23">
        <v>2</v>
      </c>
    </row>
    <row r="197" spans="1:5" x14ac:dyDescent="0.25">
      <c r="A197" s="24">
        <v>95</v>
      </c>
      <c r="B197" s="24" t="s">
        <v>8954</v>
      </c>
      <c r="C197" s="23" t="s">
        <v>8962</v>
      </c>
      <c r="D197" s="23" t="s">
        <v>8962</v>
      </c>
      <c r="E197" s="23">
        <v>2</v>
      </c>
    </row>
    <row r="198" spans="1:5" x14ac:dyDescent="0.25">
      <c r="A198" s="24">
        <v>96</v>
      </c>
      <c r="B198" s="24" t="s">
        <v>8954</v>
      </c>
      <c r="C198" s="23" t="s">
        <v>8963</v>
      </c>
      <c r="D198" s="23" t="s">
        <v>8963</v>
      </c>
      <c r="E198" s="23">
        <v>2</v>
      </c>
    </row>
    <row r="199" spans="1:5" x14ac:dyDescent="0.25">
      <c r="A199" s="24">
        <v>97</v>
      </c>
      <c r="B199" s="24" t="s">
        <v>8954</v>
      </c>
      <c r="C199" s="23" t="s">
        <v>8964</v>
      </c>
      <c r="D199" s="23" t="s">
        <v>8964</v>
      </c>
      <c r="E199" s="23">
        <v>2</v>
      </c>
    </row>
    <row r="200" spans="1:5" x14ac:dyDescent="0.25">
      <c r="A200" s="24">
        <v>98</v>
      </c>
      <c r="B200" s="24" t="s">
        <v>8954</v>
      </c>
      <c r="C200" s="23" t="s">
        <v>8965</v>
      </c>
      <c r="D200" s="23" t="s">
        <v>8965</v>
      </c>
      <c r="E200" s="23">
        <v>2</v>
      </c>
    </row>
    <row r="201" spans="1:5" x14ac:dyDescent="0.25">
      <c r="A201" s="24">
        <v>99</v>
      </c>
      <c r="B201" s="24" t="s">
        <v>8954</v>
      </c>
      <c r="C201" s="23" t="s">
        <v>8966</v>
      </c>
      <c r="D201" s="23" t="s">
        <v>8966</v>
      </c>
      <c r="E201" s="23">
        <v>2</v>
      </c>
    </row>
    <row r="202" spans="1:5" x14ac:dyDescent="0.25">
      <c r="A202" s="24">
        <v>100</v>
      </c>
      <c r="B202" s="24" t="s">
        <v>8954</v>
      </c>
      <c r="C202" s="23" t="s">
        <v>8967</v>
      </c>
      <c r="D202" s="23" t="s">
        <v>8967</v>
      </c>
      <c r="E202" s="23">
        <v>2</v>
      </c>
    </row>
    <row r="203" spans="1:5" x14ac:dyDescent="0.25">
      <c r="A203" s="24">
        <v>101</v>
      </c>
      <c r="B203" s="24" t="s">
        <v>8954</v>
      </c>
      <c r="C203" s="23" t="s">
        <v>8968</v>
      </c>
      <c r="D203" s="23" t="s">
        <v>8968</v>
      </c>
      <c r="E203" s="23">
        <v>2</v>
      </c>
    </row>
    <row r="204" spans="1:5" x14ac:dyDescent="0.25">
      <c r="A204" s="24">
        <v>611</v>
      </c>
      <c r="B204" s="24" t="s">
        <v>8969</v>
      </c>
      <c r="C204" s="24" t="s">
        <v>8970</v>
      </c>
      <c r="D204" s="25" t="s">
        <v>8971</v>
      </c>
      <c r="E204" s="23">
        <v>2</v>
      </c>
    </row>
    <row r="205" spans="1:5" x14ac:dyDescent="0.25">
      <c r="A205" s="24">
        <v>611</v>
      </c>
      <c r="B205" s="24" t="s">
        <v>8969</v>
      </c>
      <c r="C205" s="24" t="s">
        <v>8970</v>
      </c>
      <c r="D205" s="23" t="s">
        <v>8972</v>
      </c>
      <c r="E205" s="23">
        <v>2</v>
      </c>
    </row>
    <row r="206" spans="1:5" x14ac:dyDescent="0.25">
      <c r="A206" s="24">
        <v>611</v>
      </c>
      <c r="B206" s="24" t="s">
        <v>8969</v>
      </c>
      <c r="C206" s="24" t="s">
        <v>8970</v>
      </c>
      <c r="D206" s="23" t="s">
        <v>8973</v>
      </c>
      <c r="E206" s="23">
        <v>2</v>
      </c>
    </row>
    <row r="207" spans="1:5" x14ac:dyDescent="0.25">
      <c r="A207" s="24">
        <v>611</v>
      </c>
      <c r="B207" s="24" t="s">
        <v>8969</v>
      </c>
      <c r="C207" s="24" t="s">
        <v>8970</v>
      </c>
      <c r="D207" s="23" t="s">
        <v>8974</v>
      </c>
      <c r="E207" s="23">
        <v>2</v>
      </c>
    </row>
    <row r="208" spans="1:5" x14ac:dyDescent="0.25">
      <c r="A208" s="24">
        <v>611</v>
      </c>
      <c r="B208" s="24" t="s">
        <v>8969</v>
      </c>
      <c r="C208" s="24" t="s">
        <v>8970</v>
      </c>
      <c r="D208" s="23" t="s">
        <v>8975</v>
      </c>
      <c r="E208" s="23">
        <v>2</v>
      </c>
    </row>
    <row r="209" spans="1:5" x14ac:dyDescent="0.25">
      <c r="A209" s="24">
        <v>611</v>
      </c>
      <c r="B209" s="24" t="s">
        <v>8969</v>
      </c>
      <c r="C209" s="24" t="s">
        <v>8970</v>
      </c>
      <c r="D209" s="23" t="s">
        <v>8976</v>
      </c>
      <c r="E209" s="23">
        <v>2</v>
      </c>
    </row>
    <row r="210" spans="1:5" x14ac:dyDescent="0.25">
      <c r="A210" s="24">
        <v>611</v>
      </c>
      <c r="B210" s="24" t="s">
        <v>8969</v>
      </c>
      <c r="C210" s="24" t="s">
        <v>8970</v>
      </c>
      <c r="D210" s="23" t="s">
        <v>8977</v>
      </c>
      <c r="E210" s="23">
        <v>2</v>
      </c>
    </row>
    <row r="211" spans="1:5" x14ac:dyDescent="0.25">
      <c r="A211" s="24">
        <v>611</v>
      </c>
      <c r="B211" s="24" t="s">
        <v>8969</v>
      </c>
      <c r="C211" s="24" t="s">
        <v>8970</v>
      </c>
      <c r="D211" s="23" t="s">
        <v>8978</v>
      </c>
      <c r="E211" s="23">
        <v>2</v>
      </c>
    </row>
    <row r="212" spans="1:5" x14ac:dyDescent="0.25">
      <c r="A212" s="24">
        <v>611</v>
      </c>
      <c r="B212" s="24" t="s">
        <v>8969</v>
      </c>
      <c r="C212" s="24" t="s">
        <v>8970</v>
      </c>
      <c r="D212" s="23" t="s">
        <v>8979</v>
      </c>
      <c r="E212" s="23">
        <v>2</v>
      </c>
    </row>
    <row r="213" spans="1:5" x14ac:dyDescent="0.25">
      <c r="A213" s="24">
        <v>102</v>
      </c>
      <c r="B213" s="24" t="s">
        <v>8969</v>
      </c>
      <c r="C213" s="25" t="s">
        <v>8971</v>
      </c>
      <c r="D213" s="25" t="s">
        <v>8971</v>
      </c>
      <c r="E213" s="23">
        <v>2</v>
      </c>
    </row>
    <row r="214" spans="1:5" x14ac:dyDescent="0.25">
      <c r="A214" s="24">
        <v>103</v>
      </c>
      <c r="B214" s="24" t="s">
        <v>8969</v>
      </c>
      <c r="C214" s="23" t="s">
        <v>8972</v>
      </c>
      <c r="D214" s="23" t="s">
        <v>8972</v>
      </c>
      <c r="E214" s="23">
        <v>2</v>
      </c>
    </row>
    <row r="215" spans="1:5" x14ac:dyDescent="0.25">
      <c r="A215" s="24">
        <v>104</v>
      </c>
      <c r="B215" s="24" t="s">
        <v>8969</v>
      </c>
      <c r="C215" s="23" t="s">
        <v>8973</v>
      </c>
      <c r="D215" s="23" t="s">
        <v>8973</v>
      </c>
      <c r="E215" s="23">
        <v>2</v>
      </c>
    </row>
    <row r="216" spans="1:5" x14ac:dyDescent="0.25">
      <c r="A216" s="24">
        <v>105</v>
      </c>
      <c r="B216" s="24" t="s">
        <v>8969</v>
      </c>
      <c r="C216" s="23" t="s">
        <v>8974</v>
      </c>
      <c r="D216" s="23" t="s">
        <v>8974</v>
      </c>
      <c r="E216" s="23">
        <v>2</v>
      </c>
    </row>
    <row r="217" spans="1:5" x14ac:dyDescent="0.25">
      <c r="A217" s="24">
        <v>106</v>
      </c>
      <c r="B217" s="24" t="s">
        <v>8969</v>
      </c>
      <c r="C217" s="23" t="s">
        <v>8975</v>
      </c>
      <c r="D217" s="23" t="s">
        <v>8975</v>
      </c>
      <c r="E217" s="23">
        <v>2</v>
      </c>
    </row>
    <row r="218" spans="1:5" x14ac:dyDescent="0.25">
      <c r="A218" s="24">
        <v>107</v>
      </c>
      <c r="B218" s="24" t="s">
        <v>8969</v>
      </c>
      <c r="C218" s="23" t="s">
        <v>8976</v>
      </c>
      <c r="D218" s="23" t="s">
        <v>8976</v>
      </c>
      <c r="E218" s="23">
        <v>2</v>
      </c>
    </row>
    <row r="219" spans="1:5" x14ac:dyDescent="0.25">
      <c r="A219" s="24">
        <v>108</v>
      </c>
      <c r="B219" s="24" t="s">
        <v>8969</v>
      </c>
      <c r="C219" s="23" t="s">
        <v>8977</v>
      </c>
      <c r="D219" s="23" t="s">
        <v>8977</v>
      </c>
      <c r="E219" s="23">
        <v>2</v>
      </c>
    </row>
    <row r="220" spans="1:5" x14ac:dyDescent="0.25">
      <c r="A220" s="24">
        <v>109</v>
      </c>
      <c r="B220" s="24" t="s">
        <v>8969</v>
      </c>
      <c r="C220" s="23" t="s">
        <v>8978</v>
      </c>
      <c r="D220" s="23" t="s">
        <v>8978</v>
      </c>
      <c r="E220" s="23">
        <v>2</v>
      </c>
    </row>
    <row r="221" spans="1:5" x14ac:dyDescent="0.25">
      <c r="A221" s="24">
        <v>110</v>
      </c>
      <c r="B221" s="24" t="s">
        <v>8969</v>
      </c>
      <c r="C221" s="23" t="s">
        <v>8979</v>
      </c>
      <c r="D221" s="23" t="s">
        <v>8979</v>
      </c>
      <c r="E221" s="23">
        <v>2</v>
      </c>
    </row>
    <row r="222" spans="1:5" x14ac:dyDescent="0.25">
      <c r="A222" s="24">
        <v>612</v>
      </c>
      <c r="B222" s="24" t="s">
        <v>8980</v>
      </c>
      <c r="C222" s="24" t="s">
        <v>8981</v>
      </c>
      <c r="D222" s="25" t="s">
        <v>8982</v>
      </c>
      <c r="E222" s="23">
        <v>2</v>
      </c>
    </row>
    <row r="223" spans="1:5" x14ac:dyDescent="0.25">
      <c r="A223" s="24">
        <v>612</v>
      </c>
      <c r="B223" s="24" t="s">
        <v>8980</v>
      </c>
      <c r="C223" s="24" t="s">
        <v>8981</v>
      </c>
      <c r="D223" s="23" t="s">
        <v>8983</v>
      </c>
      <c r="E223" s="23">
        <v>2</v>
      </c>
    </row>
    <row r="224" spans="1:5" x14ac:dyDescent="0.25">
      <c r="A224" s="24">
        <v>612</v>
      </c>
      <c r="B224" s="24" t="s">
        <v>8980</v>
      </c>
      <c r="C224" s="24" t="s">
        <v>8981</v>
      </c>
      <c r="D224" s="23" t="s">
        <v>8984</v>
      </c>
      <c r="E224" s="23">
        <v>2</v>
      </c>
    </row>
    <row r="225" spans="1:5" x14ac:dyDescent="0.25">
      <c r="A225" s="24">
        <v>612</v>
      </c>
      <c r="B225" s="24" t="s">
        <v>8980</v>
      </c>
      <c r="C225" s="24" t="s">
        <v>8981</v>
      </c>
      <c r="D225" s="23" t="s">
        <v>8985</v>
      </c>
      <c r="E225" s="23">
        <v>2</v>
      </c>
    </row>
    <row r="226" spans="1:5" x14ac:dyDescent="0.25">
      <c r="A226" s="24">
        <v>612</v>
      </c>
      <c r="B226" s="24" t="s">
        <v>8980</v>
      </c>
      <c r="C226" s="24" t="s">
        <v>8981</v>
      </c>
      <c r="D226" s="23" t="s">
        <v>8986</v>
      </c>
      <c r="E226" s="23">
        <v>2</v>
      </c>
    </row>
    <row r="227" spans="1:5" x14ac:dyDescent="0.25">
      <c r="A227" s="24">
        <v>612</v>
      </c>
      <c r="B227" s="24" t="s">
        <v>8980</v>
      </c>
      <c r="C227" s="24" t="s">
        <v>8981</v>
      </c>
      <c r="D227" s="23" t="s">
        <v>8987</v>
      </c>
      <c r="E227" s="23">
        <v>2</v>
      </c>
    </row>
    <row r="228" spans="1:5" x14ac:dyDescent="0.25">
      <c r="A228" s="24">
        <v>612</v>
      </c>
      <c r="B228" s="24" t="s">
        <v>8980</v>
      </c>
      <c r="C228" s="24" t="s">
        <v>8981</v>
      </c>
      <c r="D228" s="23" t="s">
        <v>8988</v>
      </c>
      <c r="E228" s="23">
        <v>2</v>
      </c>
    </row>
    <row r="229" spans="1:5" x14ac:dyDescent="0.25">
      <c r="A229" s="24">
        <v>612</v>
      </c>
      <c r="B229" s="24" t="s">
        <v>8980</v>
      </c>
      <c r="C229" s="24" t="s">
        <v>8981</v>
      </c>
      <c r="D229" s="23" t="s">
        <v>8989</v>
      </c>
      <c r="E229" s="23">
        <v>2</v>
      </c>
    </row>
    <row r="230" spans="1:5" x14ac:dyDescent="0.25">
      <c r="A230" s="24">
        <v>111</v>
      </c>
      <c r="B230" s="24" t="s">
        <v>8980</v>
      </c>
      <c r="C230" s="25" t="s">
        <v>8982</v>
      </c>
      <c r="D230" s="25" t="s">
        <v>8982</v>
      </c>
      <c r="E230" s="23">
        <v>2</v>
      </c>
    </row>
    <row r="231" spans="1:5" x14ac:dyDescent="0.25">
      <c r="A231" s="24">
        <v>112</v>
      </c>
      <c r="B231" s="24" t="s">
        <v>8980</v>
      </c>
      <c r="C231" s="23" t="s">
        <v>8983</v>
      </c>
      <c r="D231" s="23" t="s">
        <v>8983</v>
      </c>
      <c r="E231" s="23">
        <v>2</v>
      </c>
    </row>
    <row r="232" spans="1:5" x14ac:dyDescent="0.25">
      <c r="A232" s="24">
        <v>113</v>
      </c>
      <c r="B232" s="24" t="s">
        <v>8980</v>
      </c>
      <c r="C232" s="23" t="s">
        <v>8984</v>
      </c>
      <c r="D232" s="23" t="s">
        <v>8984</v>
      </c>
      <c r="E232" s="23">
        <v>2</v>
      </c>
    </row>
    <row r="233" spans="1:5" x14ac:dyDescent="0.25">
      <c r="A233" s="24">
        <v>114</v>
      </c>
      <c r="B233" s="24" t="s">
        <v>8980</v>
      </c>
      <c r="C233" s="23" t="s">
        <v>8985</v>
      </c>
      <c r="D233" s="23" t="s">
        <v>8985</v>
      </c>
      <c r="E233" s="23">
        <v>2</v>
      </c>
    </row>
    <row r="234" spans="1:5" x14ac:dyDescent="0.25">
      <c r="A234" s="24">
        <v>115</v>
      </c>
      <c r="B234" s="24" t="s">
        <v>8980</v>
      </c>
      <c r="C234" s="23" t="s">
        <v>8986</v>
      </c>
      <c r="D234" s="23" t="s">
        <v>8986</v>
      </c>
      <c r="E234" s="23">
        <v>2</v>
      </c>
    </row>
    <row r="235" spans="1:5" x14ac:dyDescent="0.25">
      <c r="A235" s="24">
        <v>116</v>
      </c>
      <c r="B235" s="24" t="s">
        <v>8980</v>
      </c>
      <c r="C235" s="23" t="s">
        <v>8987</v>
      </c>
      <c r="D235" s="23" t="s">
        <v>8987</v>
      </c>
      <c r="E235" s="23">
        <v>2</v>
      </c>
    </row>
    <row r="236" spans="1:5" x14ac:dyDescent="0.25">
      <c r="A236" s="24">
        <v>117</v>
      </c>
      <c r="B236" s="24" t="s">
        <v>8980</v>
      </c>
      <c r="C236" s="23" t="s">
        <v>8988</v>
      </c>
      <c r="D236" s="23" t="s">
        <v>8988</v>
      </c>
      <c r="E236" s="23">
        <v>2</v>
      </c>
    </row>
    <row r="237" spans="1:5" x14ac:dyDescent="0.25">
      <c r="A237" s="24">
        <v>118</v>
      </c>
      <c r="B237" s="24" t="s">
        <v>8980</v>
      </c>
      <c r="C237" s="23" t="s">
        <v>8989</v>
      </c>
      <c r="D237" s="23" t="s">
        <v>8989</v>
      </c>
      <c r="E237" s="23">
        <v>2</v>
      </c>
    </row>
    <row r="238" spans="1:5" x14ac:dyDescent="0.25">
      <c r="A238" s="24">
        <v>613</v>
      </c>
      <c r="B238" s="24" t="s">
        <v>8990</v>
      </c>
      <c r="C238" s="24" t="s">
        <v>8991</v>
      </c>
      <c r="D238" s="25" t="s">
        <v>8992</v>
      </c>
      <c r="E238" s="23">
        <v>2</v>
      </c>
    </row>
    <row r="239" spans="1:5" x14ac:dyDescent="0.25">
      <c r="A239" s="24">
        <v>613</v>
      </c>
      <c r="B239" s="24" t="s">
        <v>8990</v>
      </c>
      <c r="C239" s="24" t="s">
        <v>8991</v>
      </c>
      <c r="D239" s="23" t="s">
        <v>8993</v>
      </c>
      <c r="E239" s="23">
        <v>2</v>
      </c>
    </row>
    <row r="240" spans="1:5" x14ac:dyDescent="0.25">
      <c r="A240" s="24">
        <v>613</v>
      </c>
      <c r="B240" s="24" t="s">
        <v>8990</v>
      </c>
      <c r="C240" s="24" t="s">
        <v>8991</v>
      </c>
      <c r="D240" s="23" t="s">
        <v>8994</v>
      </c>
      <c r="E240" s="23">
        <v>2</v>
      </c>
    </row>
    <row r="241" spans="1:5" x14ac:dyDescent="0.25">
      <c r="A241" s="24">
        <v>613</v>
      </c>
      <c r="B241" s="24" t="s">
        <v>8990</v>
      </c>
      <c r="C241" s="24" t="s">
        <v>8991</v>
      </c>
      <c r="D241" s="23" t="s">
        <v>8995</v>
      </c>
      <c r="E241" s="23">
        <v>2</v>
      </c>
    </row>
    <row r="242" spans="1:5" x14ac:dyDescent="0.25">
      <c r="A242" s="24">
        <v>119</v>
      </c>
      <c r="B242" s="24" t="s">
        <v>8990</v>
      </c>
      <c r="C242" s="25" t="s">
        <v>8992</v>
      </c>
      <c r="D242" s="25" t="s">
        <v>8992</v>
      </c>
      <c r="E242" s="23">
        <v>2</v>
      </c>
    </row>
    <row r="243" spans="1:5" x14ac:dyDescent="0.25">
      <c r="A243" s="24">
        <v>120</v>
      </c>
      <c r="B243" s="24" t="s">
        <v>8990</v>
      </c>
      <c r="C243" s="23" t="s">
        <v>8993</v>
      </c>
      <c r="D243" s="23" t="s">
        <v>8993</v>
      </c>
      <c r="E243" s="23">
        <v>2</v>
      </c>
    </row>
    <row r="244" spans="1:5" x14ac:dyDescent="0.25">
      <c r="A244" s="24">
        <v>121</v>
      </c>
      <c r="B244" s="24" t="s">
        <v>8990</v>
      </c>
      <c r="C244" s="23" t="s">
        <v>8994</v>
      </c>
      <c r="D244" s="23" t="s">
        <v>8994</v>
      </c>
      <c r="E244" s="23">
        <v>2</v>
      </c>
    </row>
    <row r="245" spans="1:5" x14ac:dyDescent="0.25">
      <c r="A245" s="24">
        <v>122</v>
      </c>
      <c r="B245" s="24" t="s">
        <v>8990</v>
      </c>
      <c r="C245" s="23" t="s">
        <v>8995</v>
      </c>
      <c r="D245" s="23" t="s">
        <v>8995</v>
      </c>
      <c r="E245" s="23">
        <v>2</v>
      </c>
    </row>
    <row r="246" spans="1:5" x14ac:dyDescent="0.25">
      <c r="A246" s="24">
        <v>614</v>
      </c>
      <c r="B246" s="24" t="s">
        <v>8996</v>
      </c>
      <c r="C246" s="24" t="s">
        <v>8997</v>
      </c>
      <c r="D246" s="25" t="s">
        <v>8998</v>
      </c>
      <c r="E246" s="23">
        <v>2</v>
      </c>
    </row>
    <row r="247" spans="1:5" x14ac:dyDescent="0.25">
      <c r="A247" s="24">
        <v>614</v>
      </c>
      <c r="B247" s="24" t="s">
        <v>8996</v>
      </c>
      <c r="C247" s="24" t="s">
        <v>8997</v>
      </c>
      <c r="D247" s="23" t="s">
        <v>8999</v>
      </c>
      <c r="E247" s="23">
        <v>2</v>
      </c>
    </row>
    <row r="248" spans="1:5" x14ac:dyDescent="0.25">
      <c r="A248" s="24">
        <v>614</v>
      </c>
      <c r="B248" s="24" t="s">
        <v>8996</v>
      </c>
      <c r="C248" s="24" t="s">
        <v>8997</v>
      </c>
      <c r="D248" s="23" t="s">
        <v>9000</v>
      </c>
      <c r="E248" s="23">
        <v>2</v>
      </c>
    </row>
    <row r="249" spans="1:5" x14ac:dyDescent="0.25">
      <c r="A249" s="24">
        <v>614</v>
      </c>
      <c r="B249" s="24" t="s">
        <v>8996</v>
      </c>
      <c r="C249" s="24" t="s">
        <v>8997</v>
      </c>
      <c r="D249" s="23" t="s">
        <v>9001</v>
      </c>
      <c r="E249" s="23">
        <v>2</v>
      </c>
    </row>
    <row r="250" spans="1:5" x14ac:dyDescent="0.25">
      <c r="A250" s="24">
        <v>123</v>
      </c>
      <c r="B250" s="24" t="s">
        <v>8996</v>
      </c>
      <c r="C250" s="25" t="s">
        <v>8998</v>
      </c>
      <c r="D250" s="25" t="s">
        <v>8998</v>
      </c>
      <c r="E250" s="23">
        <v>2</v>
      </c>
    </row>
    <row r="251" spans="1:5" x14ac:dyDescent="0.25">
      <c r="A251" s="24">
        <v>124</v>
      </c>
      <c r="B251" s="24" t="s">
        <v>8996</v>
      </c>
      <c r="C251" s="23" t="s">
        <v>8999</v>
      </c>
      <c r="D251" s="23" t="s">
        <v>8999</v>
      </c>
      <c r="E251" s="23">
        <v>2</v>
      </c>
    </row>
    <row r="252" spans="1:5" x14ac:dyDescent="0.25">
      <c r="A252" s="24">
        <v>125</v>
      </c>
      <c r="B252" s="24" t="s">
        <v>8996</v>
      </c>
      <c r="C252" s="23" t="s">
        <v>9000</v>
      </c>
      <c r="D252" s="23" t="s">
        <v>9000</v>
      </c>
      <c r="E252" s="23">
        <v>2</v>
      </c>
    </row>
    <row r="253" spans="1:5" x14ac:dyDescent="0.25">
      <c r="A253" s="24">
        <v>126</v>
      </c>
      <c r="B253" s="24" t="s">
        <v>8996</v>
      </c>
      <c r="C253" s="23" t="s">
        <v>9001</v>
      </c>
      <c r="D253" s="23" t="s">
        <v>9001</v>
      </c>
      <c r="E253" s="23">
        <v>2</v>
      </c>
    </row>
    <row r="254" spans="1:5" x14ac:dyDescent="0.25">
      <c r="A254" s="24">
        <v>127</v>
      </c>
      <c r="B254" s="24" t="s">
        <v>9002</v>
      </c>
      <c r="C254" s="24" t="s">
        <v>9003</v>
      </c>
      <c r="D254" s="25" t="s">
        <v>9004</v>
      </c>
      <c r="E254" s="23">
        <v>2</v>
      </c>
    </row>
    <row r="255" spans="1:5" x14ac:dyDescent="0.25">
      <c r="A255" s="24">
        <v>128</v>
      </c>
      <c r="B255" s="24" t="s">
        <v>9002</v>
      </c>
      <c r="C255" s="23" t="s">
        <v>9005</v>
      </c>
      <c r="D255" s="23" t="s">
        <v>9005</v>
      </c>
      <c r="E255" s="23">
        <v>2</v>
      </c>
    </row>
    <row r="256" spans="1:5" x14ac:dyDescent="0.25">
      <c r="A256" s="24">
        <v>129</v>
      </c>
      <c r="B256" s="24" t="s">
        <v>9006</v>
      </c>
      <c r="C256" s="23" t="s">
        <v>9007</v>
      </c>
      <c r="D256" s="23" t="s">
        <v>9008</v>
      </c>
      <c r="E256" s="23">
        <v>2</v>
      </c>
    </row>
    <row r="257" spans="1:5" x14ac:dyDescent="0.25">
      <c r="A257" s="24">
        <v>615</v>
      </c>
      <c r="B257" s="24" t="s">
        <v>9009</v>
      </c>
      <c r="C257" s="24" t="s">
        <v>9010</v>
      </c>
      <c r="D257" s="25" t="s">
        <v>9011</v>
      </c>
      <c r="E257" s="23">
        <v>2</v>
      </c>
    </row>
    <row r="258" spans="1:5" x14ac:dyDescent="0.25">
      <c r="A258" s="24">
        <v>615</v>
      </c>
      <c r="B258" s="24" t="s">
        <v>9009</v>
      </c>
      <c r="C258" s="24" t="s">
        <v>9010</v>
      </c>
      <c r="D258" s="23" t="s">
        <v>9012</v>
      </c>
      <c r="E258" s="23">
        <v>2</v>
      </c>
    </row>
    <row r="259" spans="1:5" x14ac:dyDescent="0.25">
      <c r="A259" s="24">
        <v>615</v>
      </c>
      <c r="B259" s="24" t="s">
        <v>9009</v>
      </c>
      <c r="C259" s="24" t="s">
        <v>9010</v>
      </c>
      <c r="D259" s="23" t="s">
        <v>9013</v>
      </c>
      <c r="E259" s="23">
        <v>2</v>
      </c>
    </row>
    <row r="260" spans="1:5" x14ac:dyDescent="0.25">
      <c r="A260" s="24">
        <v>615</v>
      </c>
      <c r="B260" s="24" t="s">
        <v>9009</v>
      </c>
      <c r="C260" s="24" t="s">
        <v>9010</v>
      </c>
      <c r="D260" s="23" t="s">
        <v>9014</v>
      </c>
      <c r="E260" s="23">
        <v>2</v>
      </c>
    </row>
    <row r="261" spans="1:5" x14ac:dyDescent="0.25">
      <c r="A261" s="24">
        <v>615</v>
      </c>
      <c r="B261" s="24" t="s">
        <v>9009</v>
      </c>
      <c r="C261" s="24" t="s">
        <v>9010</v>
      </c>
      <c r="D261" s="23" t="s">
        <v>9015</v>
      </c>
      <c r="E261" s="23">
        <v>2</v>
      </c>
    </row>
    <row r="262" spans="1:5" x14ac:dyDescent="0.25">
      <c r="A262" s="24">
        <v>615</v>
      </c>
      <c r="B262" s="24" t="s">
        <v>9009</v>
      </c>
      <c r="C262" s="24" t="s">
        <v>9010</v>
      </c>
      <c r="D262" s="23" t="s">
        <v>9016</v>
      </c>
      <c r="E262" s="23">
        <v>2</v>
      </c>
    </row>
    <row r="263" spans="1:5" x14ac:dyDescent="0.25">
      <c r="A263" s="24">
        <v>615</v>
      </c>
      <c r="B263" s="24" t="s">
        <v>9009</v>
      </c>
      <c r="C263" s="24" t="s">
        <v>9010</v>
      </c>
      <c r="D263" s="23" t="s">
        <v>9017</v>
      </c>
      <c r="E263" s="23">
        <v>2</v>
      </c>
    </row>
    <row r="264" spans="1:5" x14ac:dyDescent="0.25">
      <c r="A264" s="24">
        <v>615</v>
      </c>
      <c r="B264" s="24" t="s">
        <v>9009</v>
      </c>
      <c r="C264" s="24" t="s">
        <v>9010</v>
      </c>
      <c r="D264" s="23" t="s">
        <v>9018</v>
      </c>
      <c r="E264" s="23">
        <v>2</v>
      </c>
    </row>
    <row r="265" spans="1:5" x14ac:dyDescent="0.25">
      <c r="A265" s="24">
        <v>615</v>
      </c>
      <c r="B265" s="24" t="s">
        <v>9009</v>
      </c>
      <c r="C265" s="24" t="s">
        <v>9010</v>
      </c>
      <c r="D265" s="23" t="s">
        <v>9019</v>
      </c>
      <c r="E265" s="23">
        <v>2</v>
      </c>
    </row>
    <row r="266" spans="1:5" x14ac:dyDescent="0.25">
      <c r="A266" s="24">
        <v>615</v>
      </c>
      <c r="B266" s="24" t="s">
        <v>9009</v>
      </c>
      <c r="C266" s="24" t="s">
        <v>9010</v>
      </c>
      <c r="D266" s="23" t="s">
        <v>9020</v>
      </c>
      <c r="E266" s="23">
        <v>2</v>
      </c>
    </row>
    <row r="267" spans="1:5" x14ac:dyDescent="0.25">
      <c r="A267" s="24">
        <v>615</v>
      </c>
      <c r="B267" s="24" t="s">
        <v>9009</v>
      </c>
      <c r="C267" s="24" t="s">
        <v>9010</v>
      </c>
      <c r="D267" s="23" t="s">
        <v>9021</v>
      </c>
      <c r="E267" s="23">
        <v>2</v>
      </c>
    </row>
    <row r="268" spans="1:5" x14ac:dyDescent="0.25">
      <c r="A268" s="24">
        <v>615</v>
      </c>
      <c r="B268" s="24" t="s">
        <v>9009</v>
      </c>
      <c r="C268" s="24" t="s">
        <v>9010</v>
      </c>
      <c r="D268" s="23" t="s">
        <v>9022</v>
      </c>
      <c r="E268" s="23">
        <v>2</v>
      </c>
    </row>
    <row r="269" spans="1:5" x14ac:dyDescent="0.25">
      <c r="A269" s="24">
        <v>615</v>
      </c>
      <c r="B269" s="24" t="s">
        <v>9009</v>
      </c>
      <c r="C269" s="24" t="s">
        <v>9010</v>
      </c>
      <c r="D269" s="23" t="s">
        <v>9023</v>
      </c>
      <c r="E269" s="23">
        <v>2</v>
      </c>
    </row>
    <row r="270" spans="1:5" x14ac:dyDescent="0.25">
      <c r="A270" s="24">
        <v>615</v>
      </c>
      <c r="B270" s="24" t="s">
        <v>9009</v>
      </c>
      <c r="C270" s="24" t="s">
        <v>9010</v>
      </c>
      <c r="D270" s="23" t="s">
        <v>9024</v>
      </c>
      <c r="E270" s="23">
        <v>2</v>
      </c>
    </row>
    <row r="271" spans="1:5" x14ac:dyDescent="0.25">
      <c r="A271" s="24">
        <v>615</v>
      </c>
      <c r="B271" s="24" t="s">
        <v>9009</v>
      </c>
      <c r="C271" s="24" t="s">
        <v>9010</v>
      </c>
      <c r="D271" s="23" t="s">
        <v>9025</v>
      </c>
      <c r="E271" s="23">
        <v>2</v>
      </c>
    </row>
    <row r="272" spans="1:5" x14ac:dyDescent="0.25">
      <c r="A272" s="24">
        <v>130</v>
      </c>
      <c r="B272" s="24" t="s">
        <v>9009</v>
      </c>
      <c r="C272" s="25" t="s">
        <v>9011</v>
      </c>
      <c r="D272" s="25" t="s">
        <v>9011</v>
      </c>
      <c r="E272" s="23">
        <v>2</v>
      </c>
    </row>
    <row r="273" spans="1:5" x14ac:dyDescent="0.25">
      <c r="A273" s="24">
        <v>131</v>
      </c>
      <c r="B273" s="24" t="s">
        <v>9009</v>
      </c>
      <c r="C273" s="23" t="s">
        <v>9012</v>
      </c>
      <c r="D273" s="23" t="s">
        <v>9012</v>
      </c>
      <c r="E273" s="23">
        <v>2</v>
      </c>
    </row>
    <row r="274" spans="1:5" x14ac:dyDescent="0.25">
      <c r="A274" s="24">
        <v>132</v>
      </c>
      <c r="B274" s="24" t="s">
        <v>9009</v>
      </c>
      <c r="C274" s="23" t="s">
        <v>9013</v>
      </c>
      <c r="D274" s="23" t="s">
        <v>9013</v>
      </c>
      <c r="E274" s="23">
        <v>2</v>
      </c>
    </row>
    <row r="275" spans="1:5" x14ac:dyDescent="0.25">
      <c r="A275" s="24">
        <v>133</v>
      </c>
      <c r="B275" s="24" t="s">
        <v>9009</v>
      </c>
      <c r="C275" s="23" t="s">
        <v>9014</v>
      </c>
      <c r="D275" s="23" t="s">
        <v>9014</v>
      </c>
      <c r="E275" s="23">
        <v>2</v>
      </c>
    </row>
    <row r="276" spans="1:5" x14ac:dyDescent="0.25">
      <c r="A276" s="24">
        <v>134</v>
      </c>
      <c r="B276" s="24" t="s">
        <v>9009</v>
      </c>
      <c r="C276" s="23" t="s">
        <v>9015</v>
      </c>
      <c r="D276" s="23" t="s">
        <v>9015</v>
      </c>
      <c r="E276" s="23">
        <v>2</v>
      </c>
    </row>
    <row r="277" spans="1:5" x14ac:dyDescent="0.25">
      <c r="A277" s="24">
        <v>135</v>
      </c>
      <c r="B277" s="24" t="s">
        <v>9009</v>
      </c>
      <c r="C277" s="23" t="s">
        <v>9016</v>
      </c>
      <c r="D277" s="23" t="s">
        <v>9016</v>
      </c>
      <c r="E277" s="23">
        <v>2</v>
      </c>
    </row>
    <row r="278" spans="1:5" x14ac:dyDescent="0.25">
      <c r="A278" s="24">
        <v>136</v>
      </c>
      <c r="B278" s="24" t="s">
        <v>9009</v>
      </c>
      <c r="C278" s="23" t="s">
        <v>9017</v>
      </c>
      <c r="D278" s="23" t="s">
        <v>9017</v>
      </c>
      <c r="E278" s="23">
        <v>2</v>
      </c>
    </row>
    <row r="279" spans="1:5" x14ac:dyDescent="0.25">
      <c r="A279" s="24">
        <v>137</v>
      </c>
      <c r="B279" s="24" t="s">
        <v>9009</v>
      </c>
      <c r="C279" s="23" t="s">
        <v>9018</v>
      </c>
      <c r="D279" s="23" t="s">
        <v>9018</v>
      </c>
      <c r="E279" s="23">
        <v>2</v>
      </c>
    </row>
    <row r="280" spans="1:5" x14ac:dyDescent="0.25">
      <c r="A280" s="24">
        <v>138</v>
      </c>
      <c r="B280" s="24" t="s">
        <v>9009</v>
      </c>
      <c r="C280" s="23" t="s">
        <v>9019</v>
      </c>
      <c r="D280" s="23" t="s">
        <v>9019</v>
      </c>
      <c r="E280" s="23">
        <v>2</v>
      </c>
    </row>
    <row r="281" spans="1:5" x14ac:dyDescent="0.25">
      <c r="A281" s="24">
        <v>139</v>
      </c>
      <c r="B281" s="24" t="s">
        <v>9009</v>
      </c>
      <c r="C281" s="23" t="s">
        <v>9020</v>
      </c>
      <c r="D281" s="23" t="s">
        <v>9020</v>
      </c>
      <c r="E281" s="23">
        <v>2</v>
      </c>
    </row>
    <row r="282" spans="1:5" x14ac:dyDescent="0.25">
      <c r="A282" s="24">
        <v>140</v>
      </c>
      <c r="B282" s="24" t="s">
        <v>9009</v>
      </c>
      <c r="C282" s="23" t="s">
        <v>9021</v>
      </c>
      <c r="D282" s="23" t="s">
        <v>9021</v>
      </c>
      <c r="E282" s="23">
        <v>2</v>
      </c>
    </row>
    <row r="283" spans="1:5" x14ac:dyDescent="0.25">
      <c r="A283" s="24">
        <v>141</v>
      </c>
      <c r="B283" s="24" t="s">
        <v>9009</v>
      </c>
      <c r="C283" s="23" t="s">
        <v>9022</v>
      </c>
      <c r="D283" s="23" t="s">
        <v>9022</v>
      </c>
      <c r="E283" s="23">
        <v>2</v>
      </c>
    </row>
    <row r="284" spans="1:5" x14ac:dyDescent="0.25">
      <c r="A284" s="24">
        <v>142</v>
      </c>
      <c r="B284" s="24" t="s">
        <v>9009</v>
      </c>
      <c r="C284" s="23" t="s">
        <v>9023</v>
      </c>
      <c r="D284" s="23" t="s">
        <v>9023</v>
      </c>
      <c r="E284" s="23">
        <v>2</v>
      </c>
    </row>
    <row r="285" spans="1:5" x14ac:dyDescent="0.25">
      <c r="A285" s="24">
        <v>143</v>
      </c>
      <c r="B285" s="24" t="s">
        <v>9009</v>
      </c>
      <c r="C285" s="23" t="s">
        <v>9024</v>
      </c>
      <c r="D285" s="23" t="s">
        <v>9024</v>
      </c>
      <c r="E285" s="23">
        <v>2</v>
      </c>
    </row>
    <row r="286" spans="1:5" x14ac:dyDescent="0.25">
      <c r="A286" s="24">
        <v>144</v>
      </c>
      <c r="B286" s="24" t="s">
        <v>9009</v>
      </c>
      <c r="C286" s="23" t="s">
        <v>9025</v>
      </c>
      <c r="D286" s="23" t="s">
        <v>9025</v>
      </c>
      <c r="E286" s="23">
        <v>2</v>
      </c>
    </row>
    <row r="287" spans="1:5" x14ac:dyDescent="0.25">
      <c r="A287" s="24">
        <v>616</v>
      </c>
      <c r="B287" s="24" t="s">
        <v>9026</v>
      </c>
      <c r="C287" s="24" t="s">
        <v>9027</v>
      </c>
      <c r="D287" s="25" t="s">
        <v>9028</v>
      </c>
      <c r="E287" s="23">
        <v>2</v>
      </c>
    </row>
    <row r="288" spans="1:5" x14ac:dyDescent="0.25">
      <c r="A288" s="24">
        <v>616</v>
      </c>
      <c r="B288" s="24" t="s">
        <v>9026</v>
      </c>
      <c r="C288" s="24" t="s">
        <v>9027</v>
      </c>
      <c r="D288" s="23" t="s">
        <v>9029</v>
      </c>
      <c r="E288" s="23">
        <v>2</v>
      </c>
    </row>
    <row r="289" spans="1:5" x14ac:dyDescent="0.25">
      <c r="A289" s="24">
        <v>616</v>
      </c>
      <c r="B289" s="24" t="s">
        <v>9026</v>
      </c>
      <c r="C289" s="24" t="s">
        <v>9027</v>
      </c>
      <c r="D289" s="23" t="s">
        <v>9030</v>
      </c>
      <c r="E289" s="23">
        <v>2</v>
      </c>
    </row>
    <row r="290" spans="1:5" x14ac:dyDescent="0.25">
      <c r="A290" s="24">
        <v>616</v>
      </c>
      <c r="B290" s="24" t="s">
        <v>9026</v>
      </c>
      <c r="C290" s="24" t="s">
        <v>9027</v>
      </c>
      <c r="D290" s="23" t="s">
        <v>9031</v>
      </c>
      <c r="E290" s="23">
        <v>2</v>
      </c>
    </row>
    <row r="291" spans="1:5" x14ac:dyDescent="0.25">
      <c r="A291" s="24">
        <v>145</v>
      </c>
      <c r="B291" s="24" t="s">
        <v>9026</v>
      </c>
      <c r="C291" s="25" t="s">
        <v>9028</v>
      </c>
      <c r="D291" s="25" t="s">
        <v>9028</v>
      </c>
      <c r="E291" s="23">
        <v>2</v>
      </c>
    </row>
    <row r="292" spans="1:5" x14ac:dyDescent="0.25">
      <c r="A292" s="24">
        <v>146</v>
      </c>
      <c r="B292" s="24" t="s">
        <v>9026</v>
      </c>
      <c r="C292" s="23" t="s">
        <v>9029</v>
      </c>
      <c r="D292" s="23" t="s">
        <v>9029</v>
      </c>
      <c r="E292" s="23">
        <v>2</v>
      </c>
    </row>
    <row r="293" spans="1:5" x14ac:dyDescent="0.25">
      <c r="A293" s="24">
        <v>147</v>
      </c>
      <c r="B293" s="24" t="s">
        <v>9026</v>
      </c>
      <c r="C293" s="23" t="s">
        <v>9030</v>
      </c>
      <c r="D293" s="23" t="s">
        <v>9030</v>
      </c>
      <c r="E293" s="23">
        <v>2</v>
      </c>
    </row>
    <row r="294" spans="1:5" x14ac:dyDescent="0.25">
      <c r="A294" s="24">
        <v>148</v>
      </c>
      <c r="B294" s="24" t="s">
        <v>9026</v>
      </c>
      <c r="C294" s="23" t="s">
        <v>9031</v>
      </c>
      <c r="D294" s="23" t="s">
        <v>9031</v>
      </c>
      <c r="E294" s="23">
        <v>2</v>
      </c>
    </row>
    <row r="295" spans="1:5" x14ac:dyDescent="0.25">
      <c r="A295" s="24">
        <v>149</v>
      </c>
      <c r="B295" s="24" t="s">
        <v>9032</v>
      </c>
      <c r="C295" s="24" t="s">
        <v>9033</v>
      </c>
      <c r="D295" s="25" t="s">
        <v>9034</v>
      </c>
      <c r="E295" s="23">
        <v>2</v>
      </c>
    </row>
    <row r="296" spans="1:5" x14ac:dyDescent="0.25">
      <c r="A296" s="24">
        <v>150</v>
      </c>
      <c r="B296" s="24" t="s">
        <v>9035</v>
      </c>
      <c r="C296" s="24" t="s">
        <v>9036</v>
      </c>
      <c r="D296" s="25" t="s">
        <v>9037</v>
      </c>
      <c r="E296" s="23">
        <v>2</v>
      </c>
    </row>
    <row r="297" spans="1:5" x14ac:dyDescent="0.25">
      <c r="A297" s="24">
        <v>150</v>
      </c>
      <c r="B297" s="24" t="s">
        <v>9035</v>
      </c>
      <c r="C297" s="24" t="s">
        <v>9036</v>
      </c>
      <c r="D297" s="23" t="s">
        <v>9038</v>
      </c>
      <c r="E297" s="23">
        <v>2</v>
      </c>
    </row>
    <row r="298" spans="1:5" x14ac:dyDescent="0.25">
      <c r="A298" s="24">
        <v>151</v>
      </c>
      <c r="B298" s="24" t="s">
        <v>9035</v>
      </c>
      <c r="C298" s="23" t="s">
        <v>9038</v>
      </c>
      <c r="D298" s="23" t="s">
        <v>9038</v>
      </c>
      <c r="E298" s="23">
        <v>2</v>
      </c>
    </row>
    <row r="299" spans="1:5" x14ac:dyDescent="0.25">
      <c r="A299" s="24">
        <v>617</v>
      </c>
      <c r="B299" s="24" t="s">
        <v>9039</v>
      </c>
      <c r="C299" s="24" t="s">
        <v>9040</v>
      </c>
      <c r="D299" s="25" t="s">
        <v>9041</v>
      </c>
      <c r="E299" s="23">
        <v>2</v>
      </c>
    </row>
    <row r="300" spans="1:5" x14ac:dyDescent="0.25">
      <c r="A300" s="24">
        <v>617</v>
      </c>
      <c r="B300" s="24" t="s">
        <v>9039</v>
      </c>
      <c r="C300" s="24" t="s">
        <v>9040</v>
      </c>
      <c r="D300" s="23" t="s">
        <v>9042</v>
      </c>
      <c r="E300" s="23">
        <v>2</v>
      </c>
    </row>
    <row r="301" spans="1:5" x14ac:dyDescent="0.25">
      <c r="A301" s="24">
        <v>617</v>
      </c>
      <c r="B301" s="24" t="s">
        <v>9039</v>
      </c>
      <c r="C301" s="24" t="s">
        <v>9040</v>
      </c>
      <c r="D301" s="23" t="s">
        <v>9043</v>
      </c>
      <c r="E301" s="23">
        <v>2</v>
      </c>
    </row>
    <row r="302" spans="1:5" x14ac:dyDescent="0.25">
      <c r="A302" s="24">
        <v>617</v>
      </c>
      <c r="B302" s="24" t="s">
        <v>9039</v>
      </c>
      <c r="C302" s="24" t="s">
        <v>9040</v>
      </c>
      <c r="D302" s="23" t="s">
        <v>9044</v>
      </c>
      <c r="E302" s="23">
        <v>2</v>
      </c>
    </row>
    <row r="303" spans="1:5" x14ac:dyDescent="0.25">
      <c r="A303" s="24">
        <v>617</v>
      </c>
      <c r="B303" s="24" t="s">
        <v>9039</v>
      </c>
      <c r="C303" s="24" t="s">
        <v>9040</v>
      </c>
      <c r="D303" s="23" t="s">
        <v>9045</v>
      </c>
      <c r="E303" s="23">
        <v>2</v>
      </c>
    </row>
    <row r="304" spans="1:5" x14ac:dyDescent="0.25">
      <c r="A304" s="24">
        <v>617</v>
      </c>
      <c r="B304" s="24" t="s">
        <v>9039</v>
      </c>
      <c r="C304" s="24" t="s">
        <v>9040</v>
      </c>
      <c r="D304" s="23" t="s">
        <v>9046</v>
      </c>
      <c r="E304" s="23">
        <v>2</v>
      </c>
    </row>
    <row r="305" spans="1:5" x14ac:dyDescent="0.25">
      <c r="A305" s="24">
        <v>617</v>
      </c>
      <c r="B305" s="24" t="s">
        <v>9039</v>
      </c>
      <c r="C305" s="24" t="s">
        <v>9040</v>
      </c>
      <c r="D305" s="23" t="s">
        <v>9047</v>
      </c>
      <c r="E305" s="23">
        <v>2</v>
      </c>
    </row>
    <row r="306" spans="1:5" x14ac:dyDescent="0.25">
      <c r="A306" s="24">
        <v>617</v>
      </c>
      <c r="B306" s="24" t="s">
        <v>9039</v>
      </c>
      <c r="C306" s="24" t="s">
        <v>9040</v>
      </c>
      <c r="D306" s="23" t="s">
        <v>9048</v>
      </c>
      <c r="E306" s="23">
        <v>2</v>
      </c>
    </row>
    <row r="307" spans="1:5" x14ac:dyDescent="0.25">
      <c r="A307" s="24">
        <v>617</v>
      </c>
      <c r="B307" s="24" t="s">
        <v>9039</v>
      </c>
      <c r="C307" s="24" t="s">
        <v>9040</v>
      </c>
      <c r="D307" s="23" t="s">
        <v>9049</v>
      </c>
      <c r="E307" s="23">
        <v>2</v>
      </c>
    </row>
    <row r="308" spans="1:5" x14ac:dyDescent="0.25">
      <c r="A308" s="24">
        <v>617</v>
      </c>
      <c r="B308" s="24" t="s">
        <v>9039</v>
      </c>
      <c r="C308" s="24" t="s">
        <v>9040</v>
      </c>
      <c r="D308" s="23" t="s">
        <v>9050</v>
      </c>
      <c r="E308" s="23">
        <v>2</v>
      </c>
    </row>
    <row r="309" spans="1:5" x14ac:dyDescent="0.25">
      <c r="A309" s="24">
        <v>617</v>
      </c>
      <c r="B309" s="24" t="s">
        <v>9039</v>
      </c>
      <c r="C309" s="24" t="s">
        <v>9040</v>
      </c>
      <c r="D309" s="23" t="s">
        <v>9051</v>
      </c>
      <c r="E309" s="23">
        <v>2</v>
      </c>
    </row>
    <row r="310" spans="1:5" x14ac:dyDescent="0.25">
      <c r="A310" s="24">
        <v>617</v>
      </c>
      <c r="B310" s="24" t="s">
        <v>9039</v>
      </c>
      <c r="C310" s="24" t="s">
        <v>9040</v>
      </c>
      <c r="D310" s="23" t="s">
        <v>9052</v>
      </c>
      <c r="E310" s="23">
        <v>2</v>
      </c>
    </row>
    <row r="311" spans="1:5" x14ac:dyDescent="0.25">
      <c r="A311" s="24">
        <v>617</v>
      </c>
      <c r="B311" s="24" t="s">
        <v>9039</v>
      </c>
      <c r="C311" s="24" t="s">
        <v>9040</v>
      </c>
      <c r="D311" s="23" t="s">
        <v>9053</v>
      </c>
      <c r="E311" s="23">
        <v>2</v>
      </c>
    </row>
    <row r="312" spans="1:5" x14ac:dyDescent="0.25">
      <c r="A312" s="24">
        <v>617</v>
      </c>
      <c r="B312" s="24" t="s">
        <v>9039</v>
      </c>
      <c r="C312" s="24" t="s">
        <v>9040</v>
      </c>
      <c r="D312" s="23" t="s">
        <v>9054</v>
      </c>
      <c r="E312" s="23">
        <v>2</v>
      </c>
    </row>
    <row r="313" spans="1:5" x14ac:dyDescent="0.25">
      <c r="A313" s="24">
        <v>617</v>
      </c>
      <c r="B313" s="24" t="s">
        <v>9039</v>
      </c>
      <c r="C313" s="24" t="s">
        <v>9040</v>
      </c>
      <c r="D313" s="23" t="s">
        <v>9055</v>
      </c>
      <c r="E313" s="23">
        <v>2</v>
      </c>
    </row>
    <row r="314" spans="1:5" x14ac:dyDescent="0.25">
      <c r="A314" s="24">
        <v>617</v>
      </c>
      <c r="B314" s="24" t="s">
        <v>9039</v>
      </c>
      <c r="C314" s="24" t="s">
        <v>9040</v>
      </c>
      <c r="D314" s="23" t="s">
        <v>9056</v>
      </c>
      <c r="E314" s="23">
        <v>2</v>
      </c>
    </row>
    <row r="315" spans="1:5" x14ac:dyDescent="0.25">
      <c r="A315" s="24">
        <v>617</v>
      </c>
      <c r="B315" s="24" t="s">
        <v>9039</v>
      </c>
      <c r="C315" s="24" t="s">
        <v>9040</v>
      </c>
      <c r="D315" s="23" t="s">
        <v>9057</v>
      </c>
      <c r="E315" s="23">
        <v>2</v>
      </c>
    </row>
    <row r="316" spans="1:5" x14ac:dyDescent="0.25">
      <c r="A316" s="24">
        <v>617</v>
      </c>
      <c r="B316" s="24" t="s">
        <v>9039</v>
      </c>
      <c r="C316" s="24" t="s">
        <v>9040</v>
      </c>
      <c r="D316" s="23" t="s">
        <v>9058</v>
      </c>
      <c r="E316" s="23">
        <v>2</v>
      </c>
    </row>
    <row r="317" spans="1:5" x14ac:dyDescent="0.25">
      <c r="A317" s="24">
        <v>617</v>
      </c>
      <c r="B317" s="24" t="s">
        <v>9039</v>
      </c>
      <c r="C317" s="24" t="s">
        <v>9040</v>
      </c>
      <c r="D317" s="23" t="s">
        <v>9059</v>
      </c>
      <c r="E317" s="23">
        <v>2</v>
      </c>
    </row>
    <row r="318" spans="1:5" x14ac:dyDescent="0.25">
      <c r="A318" s="24">
        <v>617</v>
      </c>
      <c r="B318" s="24" t="s">
        <v>9039</v>
      </c>
      <c r="C318" s="24" t="s">
        <v>9040</v>
      </c>
      <c r="D318" s="23" t="s">
        <v>9060</v>
      </c>
      <c r="E318" s="23">
        <v>2</v>
      </c>
    </row>
    <row r="319" spans="1:5" x14ac:dyDescent="0.25">
      <c r="A319" s="24">
        <v>617</v>
      </c>
      <c r="B319" s="24" t="s">
        <v>9039</v>
      </c>
      <c r="C319" s="24" t="s">
        <v>9040</v>
      </c>
      <c r="D319" s="23" t="s">
        <v>9061</v>
      </c>
      <c r="E319" s="23">
        <v>2</v>
      </c>
    </row>
    <row r="320" spans="1:5" x14ac:dyDescent="0.25">
      <c r="A320" s="24">
        <v>617</v>
      </c>
      <c r="B320" s="24" t="s">
        <v>9039</v>
      </c>
      <c r="C320" s="24" t="s">
        <v>9040</v>
      </c>
      <c r="D320" s="23" t="s">
        <v>9062</v>
      </c>
      <c r="E320" s="23">
        <v>2</v>
      </c>
    </row>
    <row r="321" spans="1:5" x14ac:dyDescent="0.25">
      <c r="A321" s="24">
        <v>617</v>
      </c>
      <c r="B321" s="24" t="s">
        <v>9039</v>
      </c>
      <c r="C321" s="24" t="s">
        <v>9040</v>
      </c>
      <c r="D321" s="23" t="s">
        <v>9063</v>
      </c>
      <c r="E321" s="23">
        <v>2</v>
      </c>
    </row>
    <row r="322" spans="1:5" x14ac:dyDescent="0.25">
      <c r="A322" s="24">
        <v>617</v>
      </c>
      <c r="B322" s="24" t="s">
        <v>9039</v>
      </c>
      <c r="C322" s="24" t="s">
        <v>9040</v>
      </c>
      <c r="D322" s="23" t="s">
        <v>9064</v>
      </c>
      <c r="E322" s="23">
        <v>2</v>
      </c>
    </row>
    <row r="323" spans="1:5" x14ac:dyDescent="0.25">
      <c r="A323" s="24">
        <v>617</v>
      </c>
      <c r="B323" s="24" t="s">
        <v>9039</v>
      </c>
      <c r="C323" s="24" t="s">
        <v>9040</v>
      </c>
      <c r="D323" s="23" t="s">
        <v>9065</v>
      </c>
      <c r="E323" s="23">
        <v>2</v>
      </c>
    </row>
    <row r="324" spans="1:5" x14ac:dyDescent="0.25">
      <c r="A324" s="24">
        <v>617</v>
      </c>
      <c r="B324" s="24" t="s">
        <v>9039</v>
      </c>
      <c r="C324" s="24" t="s">
        <v>9040</v>
      </c>
      <c r="D324" s="23" t="s">
        <v>9066</v>
      </c>
      <c r="E324" s="23">
        <v>2</v>
      </c>
    </row>
    <row r="325" spans="1:5" x14ac:dyDescent="0.25">
      <c r="A325" s="24">
        <v>152</v>
      </c>
      <c r="B325" s="24" t="s">
        <v>9039</v>
      </c>
      <c r="C325" s="25" t="s">
        <v>9041</v>
      </c>
      <c r="D325" s="25" t="s">
        <v>9041</v>
      </c>
      <c r="E325" s="23">
        <v>2</v>
      </c>
    </row>
    <row r="326" spans="1:5" x14ac:dyDescent="0.25">
      <c r="A326" s="24">
        <v>153</v>
      </c>
      <c r="B326" s="24" t="s">
        <v>9039</v>
      </c>
      <c r="C326" s="23" t="s">
        <v>9042</v>
      </c>
      <c r="D326" s="23" t="s">
        <v>9042</v>
      </c>
      <c r="E326" s="23">
        <v>2</v>
      </c>
    </row>
    <row r="327" spans="1:5" x14ac:dyDescent="0.25">
      <c r="A327" s="24">
        <v>154</v>
      </c>
      <c r="B327" s="24" t="s">
        <v>9039</v>
      </c>
      <c r="C327" s="23" t="s">
        <v>9043</v>
      </c>
      <c r="D327" s="23" t="s">
        <v>9043</v>
      </c>
      <c r="E327" s="23">
        <v>2</v>
      </c>
    </row>
    <row r="328" spans="1:5" x14ac:dyDescent="0.25">
      <c r="A328" s="24">
        <v>155</v>
      </c>
      <c r="B328" s="24" t="s">
        <v>9039</v>
      </c>
      <c r="C328" s="23" t="s">
        <v>9044</v>
      </c>
      <c r="D328" s="23" t="s">
        <v>9044</v>
      </c>
      <c r="E328" s="23">
        <v>2</v>
      </c>
    </row>
    <row r="329" spans="1:5" x14ac:dyDescent="0.25">
      <c r="A329" s="24">
        <v>156</v>
      </c>
      <c r="B329" s="24" t="s">
        <v>9039</v>
      </c>
      <c r="C329" s="23" t="s">
        <v>9045</v>
      </c>
      <c r="D329" s="23" t="s">
        <v>9045</v>
      </c>
      <c r="E329" s="23">
        <v>2</v>
      </c>
    </row>
    <row r="330" spans="1:5" x14ac:dyDescent="0.25">
      <c r="A330" s="24">
        <v>157</v>
      </c>
      <c r="B330" s="24" t="s">
        <v>9039</v>
      </c>
      <c r="C330" s="23" t="s">
        <v>9046</v>
      </c>
      <c r="D330" s="23" t="s">
        <v>9046</v>
      </c>
      <c r="E330" s="23">
        <v>2</v>
      </c>
    </row>
    <row r="331" spans="1:5" x14ac:dyDescent="0.25">
      <c r="A331" s="24">
        <v>158</v>
      </c>
      <c r="B331" s="24" t="s">
        <v>9039</v>
      </c>
      <c r="C331" s="23" t="s">
        <v>9047</v>
      </c>
      <c r="D331" s="23" t="s">
        <v>9047</v>
      </c>
      <c r="E331" s="23">
        <v>2</v>
      </c>
    </row>
    <row r="332" spans="1:5" x14ac:dyDescent="0.25">
      <c r="A332" s="24">
        <v>159</v>
      </c>
      <c r="B332" s="24" t="s">
        <v>9039</v>
      </c>
      <c r="C332" s="23" t="s">
        <v>9048</v>
      </c>
      <c r="D332" s="23" t="s">
        <v>9048</v>
      </c>
      <c r="E332" s="23">
        <v>2</v>
      </c>
    </row>
    <row r="333" spans="1:5" x14ac:dyDescent="0.25">
      <c r="A333" s="24">
        <v>160</v>
      </c>
      <c r="B333" s="24" t="s">
        <v>9039</v>
      </c>
      <c r="C333" s="23" t="s">
        <v>9049</v>
      </c>
      <c r="D333" s="23" t="s">
        <v>9049</v>
      </c>
      <c r="E333" s="23">
        <v>2</v>
      </c>
    </row>
    <row r="334" spans="1:5" x14ac:dyDescent="0.25">
      <c r="A334" s="24">
        <v>161</v>
      </c>
      <c r="B334" s="24" t="s">
        <v>9039</v>
      </c>
      <c r="C334" s="23" t="s">
        <v>9050</v>
      </c>
      <c r="D334" s="23" t="s">
        <v>9050</v>
      </c>
      <c r="E334" s="23">
        <v>2</v>
      </c>
    </row>
    <row r="335" spans="1:5" x14ac:dyDescent="0.25">
      <c r="A335" s="24">
        <v>162</v>
      </c>
      <c r="B335" s="24" t="s">
        <v>9039</v>
      </c>
      <c r="C335" s="23" t="s">
        <v>9051</v>
      </c>
      <c r="D335" s="23" t="s">
        <v>9051</v>
      </c>
      <c r="E335" s="23">
        <v>2</v>
      </c>
    </row>
    <row r="336" spans="1:5" x14ac:dyDescent="0.25">
      <c r="A336" s="24">
        <v>163</v>
      </c>
      <c r="B336" s="24" t="s">
        <v>9039</v>
      </c>
      <c r="C336" s="23" t="s">
        <v>9052</v>
      </c>
      <c r="D336" s="23" t="s">
        <v>9052</v>
      </c>
      <c r="E336" s="23">
        <v>2</v>
      </c>
    </row>
    <row r="337" spans="1:5" x14ac:dyDescent="0.25">
      <c r="A337" s="24">
        <v>164</v>
      </c>
      <c r="B337" s="24" t="s">
        <v>9039</v>
      </c>
      <c r="C337" s="23" t="s">
        <v>9053</v>
      </c>
      <c r="D337" s="23" t="s">
        <v>9053</v>
      </c>
      <c r="E337" s="23">
        <v>2</v>
      </c>
    </row>
    <row r="338" spans="1:5" x14ac:dyDescent="0.25">
      <c r="A338" s="24">
        <v>165</v>
      </c>
      <c r="B338" s="24" t="s">
        <v>9039</v>
      </c>
      <c r="C338" s="23" t="s">
        <v>9054</v>
      </c>
      <c r="D338" s="23" t="s">
        <v>9054</v>
      </c>
      <c r="E338" s="23">
        <v>2</v>
      </c>
    </row>
    <row r="339" spans="1:5" x14ac:dyDescent="0.25">
      <c r="A339" s="24">
        <v>166</v>
      </c>
      <c r="B339" s="24" t="s">
        <v>9039</v>
      </c>
      <c r="C339" s="23" t="s">
        <v>9055</v>
      </c>
      <c r="D339" s="23" t="s">
        <v>9055</v>
      </c>
      <c r="E339" s="23">
        <v>2</v>
      </c>
    </row>
    <row r="340" spans="1:5" x14ac:dyDescent="0.25">
      <c r="A340" s="24">
        <v>167</v>
      </c>
      <c r="B340" s="24" t="s">
        <v>9039</v>
      </c>
      <c r="C340" s="23" t="s">
        <v>9056</v>
      </c>
      <c r="D340" s="23" t="s">
        <v>9056</v>
      </c>
      <c r="E340" s="23">
        <v>2</v>
      </c>
    </row>
    <row r="341" spans="1:5" x14ac:dyDescent="0.25">
      <c r="A341" s="24">
        <v>168</v>
      </c>
      <c r="B341" s="24" t="s">
        <v>9039</v>
      </c>
      <c r="C341" s="23" t="s">
        <v>9057</v>
      </c>
      <c r="D341" s="23" t="s">
        <v>9057</v>
      </c>
      <c r="E341" s="23">
        <v>2</v>
      </c>
    </row>
    <row r="342" spans="1:5" x14ac:dyDescent="0.25">
      <c r="A342" s="24">
        <v>169</v>
      </c>
      <c r="B342" s="24" t="s">
        <v>9039</v>
      </c>
      <c r="C342" s="23" t="s">
        <v>9058</v>
      </c>
      <c r="D342" s="23" t="s">
        <v>9058</v>
      </c>
      <c r="E342" s="23">
        <v>2</v>
      </c>
    </row>
    <row r="343" spans="1:5" x14ac:dyDescent="0.25">
      <c r="A343" s="24">
        <v>170</v>
      </c>
      <c r="B343" s="24" t="s">
        <v>9039</v>
      </c>
      <c r="C343" s="23" t="s">
        <v>9059</v>
      </c>
      <c r="D343" s="23" t="s">
        <v>9059</v>
      </c>
      <c r="E343" s="23">
        <v>2</v>
      </c>
    </row>
    <row r="344" spans="1:5" x14ac:dyDescent="0.25">
      <c r="A344" s="24">
        <v>171</v>
      </c>
      <c r="B344" s="24" t="s">
        <v>9039</v>
      </c>
      <c r="C344" s="23" t="s">
        <v>9060</v>
      </c>
      <c r="D344" s="23" t="s">
        <v>9060</v>
      </c>
      <c r="E344" s="23">
        <v>2</v>
      </c>
    </row>
    <row r="345" spans="1:5" x14ac:dyDescent="0.25">
      <c r="A345" s="24">
        <v>172</v>
      </c>
      <c r="B345" s="24" t="s">
        <v>9039</v>
      </c>
      <c r="C345" s="23" t="s">
        <v>9061</v>
      </c>
      <c r="D345" s="23" t="s">
        <v>9061</v>
      </c>
      <c r="E345" s="23">
        <v>2</v>
      </c>
    </row>
    <row r="346" spans="1:5" x14ac:dyDescent="0.25">
      <c r="A346" s="24">
        <v>173</v>
      </c>
      <c r="B346" s="24" t="s">
        <v>9039</v>
      </c>
      <c r="C346" s="23" t="s">
        <v>9062</v>
      </c>
      <c r="D346" s="23" t="s">
        <v>9062</v>
      </c>
      <c r="E346" s="23">
        <v>2</v>
      </c>
    </row>
    <row r="347" spans="1:5" x14ac:dyDescent="0.25">
      <c r="A347" s="24">
        <v>174</v>
      </c>
      <c r="B347" s="24" t="s">
        <v>9039</v>
      </c>
      <c r="C347" s="23" t="s">
        <v>9063</v>
      </c>
      <c r="D347" s="23" t="s">
        <v>9063</v>
      </c>
      <c r="E347" s="23">
        <v>2</v>
      </c>
    </row>
    <row r="348" spans="1:5" x14ac:dyDescent="0.25">
      <c r="A348" s="24">
        <v>175</v>
      </c>
      <c r="B348" s="24" t="s">
        <v>9039</v>
      </c>
      <c r="C348" s="23" t="s">
        <v>9064</v>
      </c>
      <c r="D348" s="23" t="s">
        <v>9064</v>
      </c>
      <c r="E348" s="23">
        <v>2</v>
      </c>
    </row>
    <row r="349" spans="1:5" x14ac:dyDescent="0.25">
      <c r="A349" s="24">
        <v>176</v>
      </c>
      <c r="B349" s="24" t="s">
        <v>9039</v>
      </c>
      <c r="C349" s="23" t="s">
        <v>9065</v>
      </c>
      <c r="D349" s="23" t="s">
        <v>9065</v>
      </c>
      <c r="E349" s="23">
        <v>2</v>
      </c>
    </row>
    <row r="350" spans="1:5" x14ac:dyDescent="0.25">
      <c r="A350" s="24">
        <v>177</v>
      </c>
      <c r="B350" s="24" t="s">
        <v>9039</v>
      </c>
      <c r="C350" s="23" t="s">
        <v>9066</v>
      </c>
      <c r="D350" s="23" t="s">
        <v>9066</v>
      </c>
      <c r="E350" s="23">
        <v>2</v>
      </c>
    </row>
    <row r="351" spans="1:5" x14ac:dyDescent="0.25">
      <c r="A351" s="24">
        <v>618</v>
      </c>
      <c r="B351" s="24" t="s">
        <v>9067</v>
      </c>
      <c r="C351" s="24" t="s">
        <v>9068</v>
      </c>
      <c r="D351" s="25" t="s">
        <v>9069</v>
      </c>
      <c r="E351" s="23">
        <v>2</v>
      </c>
    </row>
    <row r="352" spans="1:5" x14ac:dyDescent="0.25">
      <c r="A352" s="24">
        <v>618</v>
      </c>
      <c r="B352" s="24" t="s">
        <v>9067</v>
      </c>
      <c r="C352" s="24" t="s">
        <v>9068</v>
      </c>
      <c r="D352" s="23" t="s">
        <v>9070</v>
      </c>
      <c r="E352" s="23">
        <v>2</v>
      </c>
    </row>
    <row r="353" spans="1:5" x14ac:dyDescent="0.25">
      <c r="A353" s="24">
        <v>618</v>
      </c>
      <c r="B353" s="24" t="s">
        <v>9067</v>
      </c>
      <c r="C353" s="24" t="s">
        <v>9068</v>
      </c>
      <c r="D353" s="23" t="s">
        <v>9071</v>
      </c>
      <c r="E353" s="23">
        <v>2</v>
      </c>
    </row>
    <row r="354" spans="1:5" x14ac:dyDescent="0.25">
      <c r="A354" s="24">
        <v>618</v>
      </c>
      <c r="B354" s="24" t="s">
        <v>9067</v>
      </c>
      <c r="C354" s="24" t="s">
        <v>9068</v>
      </c>
      <c r="D354" s="23" t="s">
        <v>9072</v>
      </c>
      <c r="E354" s="23">
        <v>2</v>
      </c>
    </row>
    <row r="355" spans="1:5" x14ac:dyDescent="0.25">
      <c r="A355" s="24">
        <v>178</v>
      </c>
      <c r="B355" s="24" t="s">
        <v>9067</v>
      </c>
      <c r="C355" s="25" t="s">
        <v>9069</v>
      </c>
      <c r="D355" s="25" t="s">
        <v>9069</v>
      </c>
      <c r="E355" s="23">
        <v>2</v>
      </c>
    </row>
    <row r="356" spans="1:5" x14ac:dyDescent="0.25">
      <c r="A356" s="24">
        <v>179</v>
      </c>
      <c r="B356" s="24" t="s">
        <v>9067</v>
      </c>
      <c r="C356" s="23" t="s">
        <v>9070</v>
      </c>
      <c r="D356" s="23" t="s">
        <v>9070</v>
      </c>
      <c r="E356" s="23">
        <v>2</v>
      </c>
    </row>
    <row r="357" spans="1:5" x14ac:dyDescent="0.25">
      <c r="A357" s="24">
        <v>180</v>
      </c>
      <c r="B357" s="24" t="s">
        <v>9067</v>
      </c>
      <c r="C357" s="23" t="s">
        <v>9071</v>
      </c>
      <c r="D357" s="23" t="s">
        <v>9071</v>
      </c>
      <c r="E357" s="23">
        <v>2</v>
      </c>
    </row>
    <row r="358" spans="1:5" x14ac:dyDescent="0.25">
      <c r="A358" s="24">
        <v>181</v>
      </c>
      <c r="B358" s="24" t="s">
        <v>9067</v>
      </c>
      <c r="C358" s="23" t="s">
        <v>9072</v>
      </c>
      <c r="D358" s="23" t="s">
        <v>9072</v>
      </c>
      <c r="E358" s="23">
        <v>2</v>
      </c>
    </row>
    <row r="359" spans="1:5" x14ac:dyDescent="0.25">
      <c r="A359" s="24">
        <v>182</v>
      </c>
      <c r="B359" s="24" t="s">
        <v>9073</v>
      </c>
      <c r="C359" s="24" t="s">
        <v>9074</v>
      </c>
      <c r="D359" s="25" t="s">
        <v>9075</v>
      </c>
      <c r="E359" s="23">
        <v>2</v>
      </c>
    </row>
    <row r="360" spans="1:5" x14ac:dyDescent="0.25">
      <c r="A360" s="24">
        <v>619</v>
      </c>
      <c r="B360" s="24" t="s">
        <v>9076</v>
      </c>
      <c r="C360" s="24" t="s">
        <v>9077</v>
      </c>
      <c r="D360" s="25" t="s">
        <v>9078</v>
      </c>
      <c r="E360" s="23">
        <v>2</v>
      </c>
    </row>
    <row r="361" spans="1:5" x14ac:dyDescent="0.25">
      <c r="A361" s="24">
        <v>619</v>
      </c>
      <c r="B361" s="24" t="s">
        <v>9076</v>
      </c>
      <c r="C361" s="24" t="s">
        <v>9077</v>
      </c>
      <c r="D361" s="23" t="s">
        <v>9079</v>
      </c>
      <c r="E361" s="23">
        <v>2</v>
      </c>
    </row>
    <row r="362" spans="1:5" x14ac:dyDescent="0.25">
      <c r="A362" s="24">
        <v>619</v>
      </c>
      <c r="B362" s="24" t="s">
        <v>9076</v>
      </c>
      <c r="C362" s="24" t="s">
        <v>9077</v>
      </c>
      <c r="D362" s="23" t="s">
        <v>9080</v>
      </c>
      <c r="E362" s="23">
        <v>2</v>
      </c>
    </row>
    <row r="363" spans="1:5" x14ac:dyDescent="0.25">
      <c r="A363" s="24">
        <v>619</v>
      </c>
      <c r="B363" s="24" t="s">
        <v>9076</v>
      </c>
      <c r="C363" s="24" t="s">
        <v>9077</v>
      </c>
      <c r="D363" s="23" t="s">
        <v>9081</v>
      </c>
      <c r="E363" s="23">
        <v>2</v>
      </c>
    </row>
    <row r="364" spans="1:5" x14ac:dyDescent="0.25">
      <c r="A364" s="24">
        <v>183</v>
      </c>
      <c r="B364" s="24" t="s">
        <v>9076</v>
      </c>
      <c r="C364" s="25" t="s">
        <v>9078</v>
      </c>
      <c r="D364" s="25" t="s">
        <v>9078</v>
      </c>
      <c r="E364" s="23">
        <v>2</v>
      </c>
    </row>
    <row r="365" spans="1:5" x14ac:dyDescent="0.25">
      <c r="A365" s="24">
        <v>184</v>
      </c>
      <c r="B365" s="24" t="s">
        <v>9076</v>
      </c>
      <c r="C365" s="23" t="s">
        <v>9079</v>
      </c>
      <c r="D365" s="23" t="s">
        <v>9079</v>
      </c>
      <c r="E365" s="23">
        <v>2</v>
      </c>
    </row>
    <row r="366" spans="1:5" x14ac:dyDescent="0.25">
      <c r="A366" s="24">
        <v>185</v>
      </c>
      <c r="B366" s="24" t="s">
        <v>9076</v>
      </c>
      <c r="C366" s="23" t="s">
        <v>9080</v>
      </c>
      <c r="D366" s="23" t="s">
        <v>9080</v>
      </c>
      <c r="E366" s="23">
        <v>2</v>
      </c>
    </row>
    <row r="367" spans="1:5" x14ac:dyDescent="0.25">
      <c r="A367" s="24">
        <v>186</v>
      </c>
      <c r="B367" s="24" t="s">
        <v>9076</v>
      </c>
      <c r="C367" s="23" t="s">
        <v>9081</v>
      </c>
      <c r="D367" s="23" t="s">
        <v>9081</v>
      </c>
      <c r="E367" s="23">
        <v>2</v>
      </c>
    </row>
    <row r="368" spans="1:5" x14ac:dyDescent="0.25">
      <c r="A368" s="24">
        <v>620</v>
      </c>
      <c r="B368" s="24" t="s">
        <v>9082</v>
      </c>
      <c r="C368" s="24" t="s">
        <v>9083</v>
      </c>
      <c r="D368" s="25" t="s">
        <v>9084</v>
      </c>
      <c r="E368" s="23">
        <v>2</v>
      </c>
    </row>
    <row r="369" spans="1:5" x14ac:dyDescent="0.25">
      <c r="A369" s="24">
        <v>620</v>
      </c>
      <c r="B369" s="24" t="s">
        <v>9082</v>
      </c>
      <c r="C369" s="24" t="s">
        <v>9083</v>
      </c>
      <c r="D369" s="23" t="s">
        <v>9085</v>
      </c>
      <c r="E369" s="23">
        <v>2</v>
      </c>
    </row>
    <row r="370" spans="1:5" x14ac:dyDescent="0.25">
      <c r="A370" s="24">
        <v>620</v>
      </c>
      <c r="B370" s="24" t="s">
        <v>9082</v>
      </c>
      <c r="C370" s="24" t="s">
        <v>9083</v>
      </c>
      <c r="D370" s="23" t="s">
        <v>9086</v>
      </c>
      <c r="E370" s="23">
        <v>2</v>
      </c>
    </row>
    <row r="371" spans="1:5" x14ac:dyDescent="0.25">
      <c r="A371" s="24">
        <v>620</v>
      </c>
      <c r="B371" s="24" t="s">
        <v>9082</v>
      </c>
      <c r="C371" s="24" t="s">
        <v>9083</v>
      </c>
      <c r="D371" s="23" t="s">
        <v>9087</v>
      </c>
      <c r="E371" s="23">
        <v>2</v>
      </c>
    </row>
    <row r="372" spans="1:5" x14ac:dyDescent="0.25">
      <c r="A372" s="24">
        <v>620</v>
      </c>
      <c r="B372" s="24" t="s">
        <v>9082</v>
      </c>
      <c r="C372" s="24" t="s">
        <v>9083</v>
      </c>
      <c r="D372" s="23" t="s">
        <v>9088</v>
      </c>
      <c r="E372" s="23">
        <v>2</v>
      </c>
    </row>
    <row r="373" spans="1:5" x14ac:dyDescent="0.25">
      <c r="A373" s="24">
        <v>187</v>
      </c>
      <c r="B373" s="24" t="s">
        <v>9082</v>
      </c>
      <c r="C373" s="25" t="s">
        <v>9084</v>
      </c>
      <c r="D373" s="25" t="s">
        <v>9084</v>
      </c>
      <c r="E373" s="23">
        <v>2</v>
      </c>
    </row>
    <row r="374" spans="1:5" x14ac:dyDescent="0.25">
      <c r="A374" s="24">
        <v>188</v>
      </c>
      <c r="B374" s="24" t="s">
        <v>9082</v>
      </c>
      <c r="C374" s="23" t="s">
        <v>9085</v>
      </c>
      <c r="D374" s="23" t="s">
        <v>9085</v>
      </c>
      <c r="E374" s="23">
        <v>2</v>
      </c>
    </row>
    <row r="375" spans="1:5" x14ac:dyDescent="0.25">
      <c r="A375" s="24">
        <v>189</v>
      </c>
      <c r="B375" s="24" t="s">
        <v>9082</v>
      </c>
      <c r="C375" s="23" t="s">
        <v>9086</v>
      </c>
      <c r="D375" s="23" t="s">
        <v>9086</v>
      </c>
      <c r="E375" s="23">
        <v>2</v>
      </c>
    </row>
    <row r="376" spans="1:5" x14ac:dyDescent="0.25">
      <c r="A376" s="24">
        <v>190</v>
      </c>
      <c r="B376" s="24" t="s">
        <v>9082</v>
      </c>
      <c r="C376" s="23" t="s">
        <v>9087</v>
      </c>
      <c r="D376" s="23" t="s">
        <v>9087</v>
      </c>
      <c r="E376" s="23">
        <v>2</v>
      </c>
    </row>
    <row r="377" spans="1:5" x14ac:dyDescent="0.25">
      <c r="A377" s="24">
        <v>191</v>
      </c>
      <c r="B377" s="24" t="s">
        <v>9082</v>
      </c>
      <c r="C377" s="23" t="s">
        <v>9088</v>
      </c>
      <c r="D377" s="23" t="s">
        <v>9088</v>
      </c>
      <c r="E377" s="23">
        <v>2</v>
      </c>
    </row>
    <row r="378" spans="1:5" x14ac:dyDescent="0.25">
      <c r="A378" s="24">
        <v>621</v>
      </c>
      <c r="B378" s="24" t="s">
        <v>9089</v>
      </c>
      <c r="C378" s="24" t="s">
        <v>9090</v>
      </c>
      <c r="D378" s="25" t="s">
        <v>9091</v>
      </c>
      <c r="E378" s="23">
        <v>2</v>
      </c>
    </row>
    <row r="379" spans="1:5" x14ac:dyDescent="0.25">
      <c r="A379" s="24">
        <v>621</v>
      </c>
      <c r="B379" s="24" t="s">
        <v>9089</v>
      </c>
      <c r="C379" s="24" t="s">
        <v>9090</v>
      </c>
      <c r="D379" s="23" t="s">
        <v>9092</v>
      </c>
      <c r="E379" s="23">
        <v>2</v>
      </c>
    </row>
    <row r="380" spans="1:5" x14ac:dyDescent="0.25">
      <c r="A380" s="24">
        <v>621</v>
      </c>
      <c r="B380" s="24" t="s">
        <v>9089</v>
      </c>
      <c r="C380" s="24" t="s">
        <v>9090</v>
      </c>
      <c r="D380" s="23" t="s">
        <v>9093</v>
      </c>
      <c r="E380" s="23">
        <v>2</v>
      </c>
    </row>
    <row r="381" spans="1:5" x14ac:dyDescent="0.25">
      <c r="A381" s="24">
        <v>621</v>
      </c>
      <c r="B381" s="24" t="s">
        <v>9089</v>
      </c>
      <c r="C381" s="24" t="s">
        <v>9090</v>
      </c>
      <c r="D381" s="23" t="s">
        <v>9094</v>
      </c>
      <c r="E381" s="23">
        <v>2</v>
      </c>
    </row>
    <row r="382" spans="1:5" x14ac:dyDescent="0.25">
      <c r="A382" s="24">
        <v>621</v>
      </c>
      <c r="B382" s="24" t="s">
        <v>9089</v>
      </c>
      <c r="C382" s="24" t="s">
        <v>9090</v>
      </c>
      <c r="D382" s="23" t="s">
        <v>9095</v>
      </c>
      <c r="E382" s="23">
        <v>2</v>
      </c>
    </row>
    <row r="383" spans="1:5" x14ac:dyDescent="0.25">
      <c r="A383" s="24">
        <v>621</v>
      </c>
      <c r="B383" s="24" t="s">
        <v>9089</v>
      </c>
      <c r="C383" s="24" t="s">
        <v>9090</v>
      </c>
      <c r="D383" s="23" t="s">
        <v>9096</v>
      </c>
      <c r="E383" s="23">
        <v>2</v>
      </c>
    </row>
    <row r="384" spans="1:5" x14ac:dyDescent="0.25">
      <c r="A384" s="24">
        <v>621</v>
      </c>
      <c r="B384" s="24" t="s">
        <v>9089</v>
      </c>
      <c r="C384" s="24" t="s">
        <v>9090</v>
      </c>
      <c r="D384" s="23" t="s">
        <v>9097</v>
      </c>
      <c r="E384" s="23">
        <v>2</v>
      </c>
    </row>
    <row r="385" spans="1:5" x14ac:dyDescent="0.25">
      <c r="A385" s="24">
        <v>621</v>
      </c>
      <c r="B385" s="24" t="s">
        <v>9089</v>
      </c>
      <c r="C385" s="24" t="s">
        <v>9090</v>
      </c>
      <c r="D385" s="23" t="s">
        <v>9098</v>
      </c>
      <c r="E385" s="23">
        <v>2</v>
      </c>
    </row>
    <row r="386" spans="1:5" x14ac:dyDescent="0.25">
      <c r="A386" s="24">
        <v>192</v>
      </c>
      <c r="B386" s="24" t="s">
        <v>9089</v>
      </c>
      <c r="C386" s="25" t="s">
        <v>9091</v>
      </c>
      <c r="D386" s="25" t="s">
        <v>9091</v>
      </c>
      <c r="E386" s="23">
        <v>2</v>
      </c>
    </row>
    <row r="387" spans="1:5" x14ac:dyDescent="0.25">
      <c r="A387" s="24">
        <v>193</v>
      </c>
      <c r="B387" s="24" t="s">
        <v>9089</v>
      </c>
      <c r="C387" s="23" t="s">
        <v>9092</v>
      </c>
      <c r="D387" s="23" t="s">
        <v>9092</v>
      </c>
      <c r="E387" s="23">
        <v>2</v>
      </c>
    </row>
    <row r="388" spans="1:5" x14ac:dyDescent="0.25">
      <c r="A388" s="24">
        <v>194</v>
      </c>
      <c r="B388" s="24" t="s">
        <v>9089</v>
      </c>
      <c r="C388" s="23" t="s">
        <v>9093</v>
      </c>
      <c r="D388" s="23" t="s">
        <v>9093</v>
      </c>
      <c r="E388" s="23">
        <v>2</v>
      </c>
    </row>
    <row r="389" spans="1:5" x14ac:dyDescent="0.25">
      <c r="A389" s="24">
        <v>195</v>
      </c>
      <c r="B389" s="24" t="s">
        <v>9089</v>
      </c>
      <c r="C389" s="23" t="s">
        <v>9094</v>
      </c>
      <c r="D389" s="23" t="s">
        <v>9094</v>
      </c>
      <c r="E389" s="23">
        <v>2</v>
      </c>
    </row>
    <row r="390" spans="1:5" x14ac:dyDescent="0.25">
      <c r="A390" s="24">
        <v>196</v>
      </c>
      <c r="B390" s="24" t="s">
        <v>9089</v>
      </c>
      <c r="C390" s="23" t="s">
        <v>9095</v>
      </c>
      <c r="D390" s="23" t="s">
        <v>9095</v>
      </c>
      <c r="E390" s="23">
        <v>2</v>
      </c>
    </row>
    <row r="391" spans="1:5" x14ac:dyDescent="0.25">
      <c r="A391" s="24">
        <v>197</v>
      </c>
      <c r="B391" s="24" t="s">
        <v>9089</v>
      </c>
      <c r="C391" s="23" t="s">
        <v>9096</v>
      </c>
      <c r="D391" s="23" t="s">
        <v>9096</v>
      </c>
      <c r="E391" s="23">
        <v>2</v>
      </c>
    </row>
    <row r="392" spans="1:5" x14ac:dyDescent="0.25">
      <c r="A392" s="24">
        <v>198</v>
      </c>
      <c r="B392" s="24" t="s">
        <v>9089</v>
      </c>
      <c r="C392" s="23" t="s">
        <v>9097</v>
      </c>
      <c r="D392" s="23" t="s">
        <v>9097</v>
      </c>
      <c r="E392" s="23">
        <v>2</v>
      </c>
    </row>
    <row r="393" spans="1:5" x14ac:dyDescent="0.25">
      <c r="A393" s="24">
        <v>199</v>
      </c>
      <c r="B393" s="24" t="s">
        <v>9089</v>
      </c>
      <c r="C393" s="23" t="s">
        <v>9098</v>
      </c>
      <c r="D393" s="23" t="s">
        <v>9098</v>
      </c>
      <c r="E393" s="23">
        <v>2</v>
      </c>
    </row>
    <row r="394" spans="1:5" x14ac:dyDescent="0.25">
      <c r="A394" s="24">
        <v>200</v>
      </c>
      <c r="B394" s="24" t="s">
        <v>9099</v>
      </c>
      <c r="C394" s="24" t="s">
        <v>9100</v>
      </c>
      <c r="D394" s="25" t="s">
        <v>9101</v>
      </c>
      <c r="E394" s="23">
        <v>2</v>
      </c>
    </row>
    <row r="395" spans="1:5" x14ac:dyDescent="0.25">
      <c r="A395" s="24">
        <v>622</v>
      </c>
      <c r="B395" s="24" t="s">
        <v>9102</v>
      </c>
      <c r="C395" s="24" t="s">
        <v>9103</v>
      </c>
      <c r="D395" s="25" t="s">
        <v>9104</v>
      </c>
      <c r="E395" s="23">
        <v>2</v>
      </c>
    </row>
    <row r="396" spans="1:5" x14ac:dyDescent="0.25">
      <c r="A396" s="24">
        <v>622</v>
      </c>
      <c r="B396" s="24" t="s">
        <v>9102</v>
      </c>
      <c r="C396" s="24" t="s">
        <v>9103</v>
      </c>
      <c r="D396" s="23" t="s">
        <v>9105</v>
      </c>
      <c r="E396" s="23">
        <v>2</v>
      </c>
    </row>
    <row r="397" spans="1:5" x14ac:dyDescent="0.25">
      <c r="A397" s="24">
        <v>622</v>
      </c>
      <c r="B397" s="24" t="s">
        <v>9102</v>
      </c>
      <c r="C397" s="24" t="s">
        <v>9103</v>
      </c>
      <c r="D397" s="23" t="s">
        <v>9106</v>
      </c>
      <c r="E397" s="23">
        <v>2</v>
      </c>
    </row>
    <row r="398" spans="1:5" x14ac:dyDescent="0.25">
      <c r="A398" s="24">
        <v>622</v>
      </c>
      <c r="B398" s="24" t="s">
        <v>9102</v>
      </c>
      <c r="C398" s="24" t="s">
        <v>9103</v>
      </c>
      <c r="D398" s="23" t="s">
        <v>9107</v>
      </c>
      <c r="E398" s="23">
        <v>2</v>
      </c>
    </row>
    <row r="399" spans="1:5" x14ac:dyDescent="0.25">
      <c r="A399" s="24">
        <v>201</v>
      </c>
      <c r="B399" s="24" t="s">
        <v>9102</v>
      </c>
      <c r="C399" s="25" t="s">
        <v>9104</v>
      </c>
      <c r="D399" s="25" t="s">
        <v>9104</v>
      </c>
      <c r="E399" s="23">
        <v>2</v>
      </c>
    </row>
    <row r="400" spans="1:5" x14ac:dyDescent="0.25">
      <c r="A400" s="24">
        <v>202</v>
      </c>
      <c r="B400" s="24" t="s">
        <v>9102</v>
      </c>
      <c r="C400" s="23" t="s">
        <v>9105</v>
      </c>
      <c r="D400" s="23" t="s">
        <v>9105</v>
      </c>
      <c r="E400" s="23">
        <v>2</v>
      </c>
    </row>
    <row r="401" spans="1:5" x14ac:dyDescent="0.25">
      <c r="A401" s="24">
        <v>203</v>
      </c>
      <c r="B401" s="24" t="s">
        <v>9102</v>
      </c>
      <c r="C401" s="23" t="s">
        <v>9106</v>
      </c>
      <c r="D401" s="23" t="s">
        <v>9106</v>
      </c>
      <c r="E401" s="23">
        <v>2</v>
      </c>
    </row>
    <row r="402" spans="1:5" x14ac:dyDescent="0.25">
      <c r="A402" s="24">
        <v>204</v>
      </c>
      <c r="B402" s="24" t="s">
        <v>9102</v>
      </c>
      <c r="C402" s="23" t="s">
        <v>9107</v>
      </c>
      <c r="D402" s="23" t="s">
        <v>9107</v>
      </c>
      <c r="E402" s="23">
        <v>2</v>
      </c>
    </row>
    <row r="403" spans="1:5" x14ac:dyDescent="0.25">
      <c r="A403" s="24">
        <v>623</v>
      </c>
      <c r="B403" s="24" t="s">
        <v>9108</v>
      </c>
      <c r="C403" s="24" t="s">
        <v>9109</v>
      </c>
      <c r="D403" s="25" t="s">
        <v>9110</v>
      </c>
      <c r="E403" s="23">
        <v>2</v>
      </c>
    </row>
    <row r="404" spans="1:5" x14ac:dyDescent="0.25">
      <c r="A404" s="24">
        <v>623</v>
      </c>
      <c r="B404" s="24" t="s">
        <v>9108</v>
      </c>
      <c r="C404" s="24" t="s">
        <v>9109</v>
      </c>
      <c r="D404" s="23" t="s">
        <v>9111</v>
      </c>
      <c r="E404" s="23">
        <v>2</v>
      </c>
    </row>
    <row r="405" spans="1:5" x14ac:dyDescent="0.25">
      <c r="A405" s="24">
        <v>623</v>
      </c>
      <c r="B405" s="24" t="s">
        <v>9108</v>
      </c>
      <c r="C405" s="24" t="s">
        <v>9109</v>
      </c>
      <c r="D405" s="23" t="s">
        <v>9112</v>
      </c>
      <c r="E405" s="23">
        <v>2</v>
      </c>
    </row>
    <row r="406" spans="1:5" x14ac:dyDescent="0.25">
      <c r="A406" s="24">
        <v>623</v>
      </c>
      <c r="B406" s="24" t="s">
        <v>9108</v>
      </c>
      <c r="C406" s="24" t="s">
        <v>9109</v>
      </c>
      <c r="D406" s="23" t="s">
        <v>9113</v>
      </c>
      <c r="E406" s="23">
        <v>2</v>
      </c>
    </row>
    <row r="407" spans="1:5" x14ac:dyDescent="0.25">
      <c r="A407" s="24">
        <v>623</v>
      </c>
      <c r="B407" s="24" t="s">
        <v>9108</v>
      </c>
      <c r="C407" s="24" t="s">
        <v>9109</v>
      </c>
      <c r="D407" s="23" t="s">
        <v>9114</v>
      </c>
      <c r="E407" s="23">
        <v>2</v>
      </c>
    </row>
    <row r="408" spans="1:5" x14ac:dyDescent="0.25">
      <c r="A408" s="24">
        <v>623</v>
      </c>
      <c r="B408" s="24" t="s">
        <v>9108</v>
      </c>
      <c r="C408" s="24" t="s">
        <v>9109</v>
      </c>
      <c r="D408" s="23" t="s">
        <v>9115</v>
      </c>
      <c r="E408" s="23">
        <v>2</v>
      </c>
    </row>
    <row r="409" spans="1:5" x14ac:dyDescent="0.25">
      <c r="A409" s="24">
        <v>205</v>
      </c>
      <c r="B409" s="24" t="s">
        <v>9108</v>
      </c>
      <c r="C409" s="25" t="s">
        <v>9110</v>
      </c>
      <c r="D409" s="25" t="s">
        <v>9110</v>
      </c>
      <c r="E409" s="23">
        <v>2</v>
      </c>
    </row>
    <row r="410" spans="1:5" x14ac:dyDescent="0.25">
      <c r="A410" s="24">
        <v>206</v>
      </c>
      <c r="B410" s="24" t="s">
        <v>9108</v>
      </c>
      <c r="C410" s="23" t="s">
        <v>9111</v>
      </c>
      <c r="D410" s="23" t="s">
        <v>9111</v>
      </c>
      <c r="E410" s="23">
        <v>2</v>
      </c>
    </row>
    <row r="411" spans="1:5" x14ac:dyDescent="0.25">
      <c r="A411" s="24">
        <v>207</v>
      </c>
      <c r="B411" s="24" t="s">
        <v>9108</v>
      </c>
      <c r="C411" s="23" t="s">
        <v>9112</v>
      </c>
      <c r="D411" s="23" t="s">
        <v>9112</v>
      </c>
      <c r="E411" s="23">
        <v>2</v>
      </c>
    </row>
    <row r="412" spans="1:5" x14ac:dyDescent="0.25">
      <c r="A412" s="24">
        <v>208</v>
      </c>
      <c r="B412" s="24" t="s">
        <v>9108</v>
      </c>
      <c r="C412" s="23" t="s">
        <v>9113</v>
      </c>
      <c r="D412" s="23" t="s">
        <v>9113</v>
      </c>
      <c r="E412" s="23">
        <v>2</v>
      </c>
    </row>
    <row r="413" spans="1:5" x14ac:dyDescent="0.25">
      <c r="A413" s="24">
        <v>209</v>
      </c>
      <c r="B413" s="24" t="s">
        <v>9108</v>
      </c>
      <c r="C413" s="23" t="s">
        <v>9114</v>
      </c>
      <c r="D413" s="23" t="s">
        <v>9114</v>
      </c>
      <c r="E413" s="23">
        <v>2</v>
      </c>
    </row>
    <row r="414" spans="1:5" x14ac:dyDescent="0.25">
      <c r="A414" s="24">
        <v>210</v>
      </c>
      <c r="B414" s="24" t="s">
        <v>9108</v>
      </c>
      <c r="C414" s="23" t="s">
        <v>9115</v>
      </c>
      <c r="D414" s="23" t="s">
        <v>9115</v>
      </c>
      <c r="E414" s="23">
        <v>2</v>
      </c>
    </row>
    <row r="415" spans="1:5" x14ac:dyDescent="0.25">
      <c r="A415" s="24">
        <v>624</v>
      </c>
      <c r="B415" s="24" t="s">
        <v>9116</v>
      </c>
      <c r="C415" s="24" t="s">
        <v>9117</v>
      </c>
      <c r="D415" s="25" t="s">
        <v>9118</v>
      </c>
      <c r="E415" s="23">
        <v>2</v>
      </c>
    </row>
    <row r="416" spans="1:5" x14ac:dyDescent="0.25">
      <c r="A416" s="24">
        <v>624</v>
      </c>
      <c r="B416" s="24" t="s">
        <v>9116</v>
      </c>
      <c r="C416" s="24" t="s">
        <v>9117</v>
      </c>
      <c r="D416" s="23" t="s">
        <v>9119</v>
      </c>
      <c r="E416" s="23">
        <v>2</v>
      </c>
    </row>
    <row r="417" spans="1:5" x14ac:dyDescent="0.25">
      <c r="A417" s="24">
        <v>624</v>
      </c>
      <c r="B417" s="24" t="s">
        <v>9116</v>
      </c>
      <c r="C417" s="24" t="s">
        <v>9117</v>
      </c>
      <c r="D417" s="23" t="s">
        <v>9120</v>
      </c>
      <c r="E417" s="23">
        <v>2</v>
      </c>
    </row>
    <row r="418" spans="1:5" x14ac:dyDescent="0.25">
      <c r="A418" s="24">
        <v>624</v>
      </c>
      <c r="B418" s="24" t="s">
        <v>9116</v>
      </c>
      <c r="C418" s="24" t="s">
        <v>9117</v>
      </c>
      <c r="D418" s="23" t="s">
        <v>9121</v>
      </c>
      <c r="E418" s="23">
        <v>2</v>
      </c>
    </row>
    <row r="419" spans="1:5" x14ac:dyDescent="0.25">
      <c r="A419" s="24">
        <v>624</v>
      </c>
      <c r="B419" s="24" t="s">
        <v>9116</v>
      </c>
      <c r="C419" s="24" t="s">
        <v>9117</v>
      </c>
      <c r="D419" s="23" t="s">
        <v>9122</v>
      </c>
      <c r="E419" s="23">
        <v>2</v>
      </c>
    </row>
    <row r="420" spans="1:5" x14ac:dyDescent="0.25">
      <c r="A420" s="24">
        <v>624</v>
      </c>
      <c r="B420" s="24" t="s">
        <v>9116</v>
      </c>
      <c r="C420" s="24" t="s">
        <v>9117</v>
      </c>
      <c r="D420" s="23" t="s">
        <v>9123</v>
      </c>
      <c r="E420" s="23">
        <v>2</v>
      </c>
    </row>
    <row r="421" spans="1:5" x14ac:dyDescent="0.25">
      <c r="A421" s="24">
        <v>211</v>
      </c>
      <c r="B421" s="24" t="s">
        <v>9116</v>
      </c>
      <c r="C421" s="25" t="s">
        <v>9118</v>
      </c>
      <c r="D421" s="25" t="s">
        <v>9118</v>
      </c>
      <c r="E421" s="23">
        <v>2</v>
      </c>
    </row>
    <row r="422" spans="1:5" x14ac:dyDescent="0.25">
      <c r="A422" s="24">
        <v>212</v>
      </c>
      <c r="B422" s="24" t="s">
        <v>9116</v>
      </c>
      <c r="C422" s="23" t="s">
        <v>9119</v>
      </c>
      <c r="D422" s="23" t="s">
        <v>9119</v>
      </c>
      <c r="E422" s="23">
        <v>2</v>
      </c>
    </row>
    <row r="423" spans="1:5" x14ac:dyDescent="0.25">
      <c r="A423" s="24">
        <v>213</v>
      </c>
      <c r="B423" s="24" t="s">
        <v>9116</v>
      </c>
      <c r="C423" s="23" t="s">
        <v>9120</v>
      </c>
      <c r="D423" s="23" t="s">
        <v>9120</v>
      </c>
      <c r="E423" s="23">
        <v>2</v>
      </c>
    </row>
    <row r="424" spans="1:5" x14ac:dyDescent="0.25">
      <c r="A424" s="24">
        <v>214</v>
      </c>
      <c r="B424" s="24" t="s">
        <v>9116</v>
      </c>
      <c r="C424" s="23" t="s">
        <v>9121</v>
      </c>
      <c r="D424" s="23" t="s">
        <v>9121</v>
      </c>
      <c r="E424" s="23">
        <v>2</v>
      </c>
    </row>
    <row r="425" spans="1:5" x14ac:dyDescent="0.25">
      <c r="A425" s="24">
        <v>215</v>
      </c>
      <c r="B425" s="24" t="s">
        <v>9116</v>
      </c>
      <c r="C425" s="23" t="s">
        <v>9122</v>
      </c>
      <c r="D425" s="23" t="s">
        <v>9122</v>
      </c>
      <c r="E425" s="23">
        <v>2</v>
      </c>
    </row>
    <row r="426" spans="1:5" x14ac:dyDescent="0.25">
      <c r="A426" s="24">
        <v>216</v>
      </c>
      <c r="B426" s="24" t="s">
        <v>9116</v>
      </c>
      <c r="C426" s="23" t="s">
        <v>9123</v>
      </c>
      <c r="D426" s="23" t="s">
        <v>9123</v>
      </c>
      <c r="E426" s="23">
        <v>2</v>
      </c>
    </row>
    <row r="427" spans="1:5" x14ac:dyDescent="0.25">
      <c r="A427" s="24">
        <v>625</v>
      </c>
      <c r="B427" s="24" t="s">
        <v>9124</v>
      </c>
      <c r="C427" s="24" t="s">
        <v>9125</v>
      </c>
      <c r="D427" s="25" t="s">
        <v>9126</v>
      </c>
      <c r="E427" s="23">
        <v>2</v>
      </c>
    </row>
    <row r="428" spans="1:5" x14ac:dyDescent="0.25">
      <c r="A428" s="24">
        <v>625</v>
      </c>
      <c r="B428" s="24" t="s">
        <v>9124</v>
      </c>
      <c r="C428" s="24" t="s">
        <v>9125</v>
      </c>
      <c r="D428" s="23" t="s">
        <v>9127</v>
      </c>
      <c r="E428" s="23">
        <v>2</v>
      </c>
    </row>
    <row r="429" spans="1:5" x14ac:dyDescent="0.25">
      <c r="A429" s="24">
        <v>625</v>
      </c>
      <c r="B429" s="24" t="s">
        <v>9124</v>
      </c>
      <c r="C429" s="24" t="s">
        <v>9125</v>
      </c>
      <c r="D429" s="23" t="s">
        <v>9128</v>
      </c>
      <c r="E429" s="23">
        <v>2</v>
      </c>
    </row>
    <row r="430" spans="1:5" x14ac:dyDescent="0.25">
      <c r="A430" s="24">
        <v>625</v>
      </c>
      <c r="B430" s="24" t="s">
        <v>9124</v>
      </c>
      <c r="C430" s="24" t="s">
        <v>9125</v>
      </c>
      <c r="D430" s="23" t="s">
        <v>9129</v>
      </c>
      <c r="E430" s="23">
        <v>2</v>
      </c>
    </row>
    <row r="431" spans="1:5" x14ac:dyDescent="0.25">
      <c r="A431" s="24">
        <v>625</v>
      </c>
      <c r="B431" s="24" t="s">
        <v>9124</v>
      </c>
      <c r="C431" s="24" t="s">
        <v>9125</v>
      </c>
      <c r="D431" s="23" t="s">
        <v>9130</v>
      </c>
      <c r="E431" s="23">
        <v>2</v>
      </c>
    </row>
    <row r="432" spans="1:5" x14ac:dyDescent="0.25">
      <c r="A432" s="24">
        <v>625</v>
      </c>
      <c r="B432" s="24" t="s">
        <v>9124</v>
      </c>
      <c r="C432" s="24" t="s">
        <v>9125</v>
      </c>
      <c r="D432" s="23" t="s">
        <v>9131</v>
      </c>
      <c r="E432" s="23">
        <v>2</v>
      </c>
    </row>
    <row r="433" spans="1:5" x14ac:dyDescent="0.25">
      <c r="A433" s="24">
        <v>625</v>
      </c>
      <c r="B433" s="24" t="s">
        <v>9124</v>
      </c>
      <c r="C433" s="24" t="s">
        <v>9125</v>
      </c>
      <c r="D433" s="23" t="s">
        <v>9132</v>
      </c>
      <c r="E433" s="23">
        <v>2</v>
      </c>
    </row>
    <row r="434" spans="1:5" x14ac:dyDescent="0.25">
      <c r="A434" s="24">
        <v>625</v>
      </c>
      <c r="B434" s="24" t="s">
        <v>9124</v>
      </c>
      <c r="C434" s="24" t="s">
        <v>9125</v>
      </c>
      <c r="D434" s="23" t="s">
        <v>9133</v>
      </c>
      <c r="E434" s="23">
        <v>2</v>
      </c>
    </row>
    <row r="435" spans="1:5" x14ac:dyDescent="0.25">
      <c r="A435" s="24">
        <v>625</v>
      </c>
      <c r="B435" s="24" t="s">
        <v>9124</v>
      </c>
      <c r="C435" s="24" t="s">
        <v>9125</v>
      </c>
      <c r="D435" s="23" t="s">
        <v>9134</v>
      </c>
      <c r="E435" s="23">
        <v>2</v>
      </c>
    </row>
    <row r="436" spans="1:5" x14ac:dyDescent="0.25">
      <c r="A436" s="24">
        <v>625</v>
      </c>
      <c r="B436" s="24" t="s">
        <v>9124</v>
      </c>
      <c r="C436" s="24" t="s">
        <v>9125</v>
      </c>
      <c r="D436" s="23" t="s">
        <v>9135</v>
      </c>
      <c r="E436" s="23">
        <v>2</v>
      </c>
    </row>
    <row r="437" spans="1:5" x14ac:dyDescent="0.25">
      <c r="A437" s="24">
        <v>625</v>
      </c>
      <c r="B437" s="24" t="s">
        <v>9124</v>
      </c>
      <c r="C437" s="24" t="s">
        <v>9125</v>
      </c>
      <c r="D437" s="23" t="s">
        <v>9136</v>
      </c>
      <c r="E437" s="23">
        <v>2</v>
      </c>
    </row>
    <row r="438" spans="1:5" x14ac:dyDescent="0.25">
      <c r="A438" s="24">
        <v>625</v>
      </c>
      <c r="B438" s="24" t="s">
        <v>9124</v>
      </c>
      <c r="C438" s="24" t="s">
        <v>9125</v>
      </c>
      <c r="D438" s="23" t="s">
        <v>9137</v>
      </c>
      <c r="E438" s="23">
        <v>2</v>
      </c>
    </row>
    <row r="439" spans="1:5" x14ac:dyDescent="0.25">
      <c r="A439" s="24">
        <v>625</v>
      </c>
      <c r="B439" s="24" t="s">
        <v>9124</v>
      </c>
      <c r="C439" s="24" t="s">
        <v>9125</v>
      </c>
      <c r="D439" s="23" t="s">
        <v>9138</v>
      </c>
      <c r="E439" s="23">
        <v>2</v>
      </c>
    </row>
    <row r="440" spans="1:5" x14ac:dyDescent="0.25">
      <c r="A440" s="24">
        <v>217</v>
      </c>
      <c r="B440" s="24" t="s">
        <v>9124</v>
      </c>
      <c r="C440" s="25" t="s">
        <v>9126</v>
      </c>
      <c r="D440" s="25" t="s">
        <v>9126</v>
      </c>
      <c r="E440" s="23">
        <v>2</v>
      </c>
    </row>
    <row r="441" spans="1:5" x14ac:dyDescent="0.25">
      <c r="A441" s="24">
        <v>218</v>
      </c>
      <c r="B441" s="24" t="s">
        <v>9124</v>
      </c>
      <c r="C441" s="23" t="s">
        <v>9127</v>
      </c>
      <c r="D441" s="23" t="s">
        <v>9127</v>
      </c>
      <c r="E441" s="23">
        <v>2</v>
      </c>
    </row>
    <row r="442" spans="1:5" x14ac:dyDescent="0.25">
      <c r="A442" s="24">
        <v>219</v>
      </c>
      <c r="B442" s="24" t="s">
        <v>9124</v>
      </c>
      <c r="C442" s="23" t="s">
        <v>9128</v>
      </c>
      <c r="D442" s="23" t="s">
        <v>9128</v>
      </c>
      <c r="E442" s="23">
        <v>2</v>
      </c>
    </row>
    <row r="443" spans="1:5" x14ac:dyDescent="0.25">
      <c r="A443" s="24">
        <v>220</v>
      </c>
      <c r="B443" s="24" t="s">
        <v>9124</v>
      </c>
      <c r="C443" s="23" t="s">
        <v>9129</v>
      </c>
      <c r="D443" s="23" t="s">
        <v>9129</v>
      </c>
      <c r="E443" s="23">
        <v>2</v>
      </c>
    </row>
    <row r="444" spans="1:5" x14ac:dyDescent="0.25">
      <c r="A444" s="24">
        <v>221</v>
      </c>
      <c r="B444" s="24" t="s">
        <v>9124</v>
      </c>
      <c r="C444" s="23" t="s">
        <v>9130</v>
      </c>
      <c r="D444" s="23" t="s">
        <v>9130</v>
      </c>
      <c r="E444" s="23">
        <v>2</v>
      </c>
    </row>
    <row r="445" spans="1:5" x14ac:dyDescent="0.25">
      <c r="A445" s="24">
        <v>222</v>
      </c>
      <c r="B445" s="24" t="s">
        <v>9124</v>
      </c>
      <c r="C445" s="23" t="s">
        <v>9131</v>
      </c>
      <c r="D445" s="23" t="s">
        <v>9131</v>
      </c>
      <c r="E445" s="23">
        <v>2</v>
      </c>
    </row>
    <row r="446" spans="1:5" x14ac:dyDescent="0.25">
      <c r="A446" s="24">
        <v>223</v>
      </c>
      <c r="B446" s="24" t="s">
        <v>9124</v>
      </c>
      <c r="C446" s="23" t="s">
        <v>9132</v>
      </c>
      <c r="D446" s="23" t="s">
        <v>9132</v>
      </c>
      <c r="E446" s="23">
        <v>2</v>
      </c>
    </row>
    <row r="447" spans="1:5" x14ac:dyDescent="0.25">
      <c r="A447" s="24">
        <v>224</v>
      </c>
      <c r="B447" s="24" t="s">
        <v>9124</v>
      </c>
      <c r="C447" s="23" t="s">
        <v>9133</v>
      </c>
      <c r="D447" s="23" t="s">
        <v>9133</v>
      </c>
      <c r="E447" s="23">
        <v>2</v>
      </c>
    </row>
    <row r="448" spans="1:5" x14ac:dyDescent="0.25">
      <c r="A448" s="24">
        <v>225</v>
      </c>
      <c r="B448" s="24" t="s">
        <v>9124</v>
      </c>
      <c r="C448" s="23" t="s">
        <v>9134</v>
      </c>
      <c r="D448" s="23" t="s">
        <v>9134</v>
      </c>
      <c r="E448" s="23">
        <v>2</v>
      </c>
    </row>
    <row r="449" spans="1:5" x14ac:dyDescent="0.25">
      <c r="A449" s="24">
        <v>226</v>
      </c>
      <c r="B449" s="24" t="s">
        <v>9124</v>
      </c>
      <c r="C449" s="23" t="s">
        <v>9135</v>
      </c>
      <c r="D449" s="23" t="s">
        <v>9135</v>
      </c>
      <c r="E449" s="23">
        <v>2</v>
      </c>
    </row>
    <row r="450" spans="1:5" x14ac:dyDescent="0.25">
      <c r="A450" s="24">
        <v>227</v>
      </c>
      <c r="B450" s="24" t="s">
        <v>9124</v>
      </c>
      <c r="C450" s="23" t="s">
        <v>9136</v>
      </c>
      <c r="D450" s="23" t="s">
        <v>9136</v>
      </c>
      <c r="E450" s="23">
        <v>2</v>
      </c>
    </row>
    <row r="451" spans="1:5" x14ac:dyDescent="0.25">
      <c r="A451" s="24">
        <v>228</v>
      </c>
      <c r="B451" s="24" t="s">
        <v>9124</v>
      </c>
      <c r="C451" s="23" t="s">
        <v>9137</v>
      </c>
      <c r="D451" s="23" t="s">
        <v>9137</v>
      </c>
      <c r="E451" s="23">
        <v>2</v>
      </c>
    </row>
    <row r="452" spans="1:5" x14ac:dyDescent="0.25">
      <c r="A452" s="24">
        <v>229</v>
      </c>
      <c r="B452" s="24" t="s">
        <v>9124</v>
      </c>
      <c r="C452" s="23" t="s">
        <v>9138</v>
      </c>
      <c r="D452" s="23" t="s">
        <v>9138</v>
      </c>
      <c r="E452" s="23">
        <v>2</v>
      </c>
    </row>
    <row r="453" spans="1:5" x14ac:dyDescent="0.25">
      <c r="A453" s="24">
        <v>626</v>
      </c>
      <c r="B453" s="24" t="s">
        <v>9139</v>
      </c>
      <c r="C453" s="24" t="s">
        <v>9140</v>
      </c>
      <c r="D453" s="25" t="s">
        <v>9141</v>
      </c>
      <c r="E453" s="23">
        <v>2</v>
      </c>
    </row>
    <row r="454" spans="1:5" x14ac:dyDescent="0.25">
      <c r="A454" s="24">
        <v>626</v>
      </c>
      <c r="B454" s="24" t="s">
        <v>9139</v>
      </c>
      <c r="C454" s="24" t="s">
        <v>9140</v>
      </c>
      <c r="D454" s="23" t="s">
        <v>9142</v>
      </c>
      <c r="E454" s="23">
        <v>2</v>
      </c>
    </row>
    <row r="455" spans="1:5" x14ac:dyDescent="0.25">
      <c r="A455" s="24">
        <v>626</v>
      </c>
      <c r="B455" s="24" t="s">
        <v>9139</v>
      </c>
      <c r="C455" s="24" t="s">
        <v>9140</v>
      </c>
      <c r="D455" s="23" t="s">
        <v>9143</v>
      </c>
      <c r="E455" s="23">
        <v>2</v>
      </c>
    </row>
    <row r="456" spans="1:5" x14ac:dyDescent="0.25">
      <c r="A456" s="24">
        <v>230</v>
      </c>
      <c r="B456" s="24" t="s">
        <v>9139</v>
      </c>
      <c r="C456" s="25" t="s">
        <v>9141</v>
      </c>
      <c r="D456" s="25" t="s">
        <v>9141</v>
      </c>
      <c r="E456" s="23">
        <v>2</v>
      </c>
    </row>
    <row r="457" spans="1:5" x14ac:dyDescent="0.25">
      <c r="A457" s="24">
        <v>231</v>
      </c>
      <c r="B457" s="24" t="s">
        <v>9139</v>
      </c>
      <c r="C457" s="23" t="s">
        <v>9142</v>
      </c>
      <c r="D457" s="23" t="s">
        <v>9142</v>
      </c>
      <c r="E457" s="23">
        <v>2</v>
      </c>
    </row>
    <row r="458" spans="1:5" x14ac:dyDescent="0.25">
      <c r="A458" s="24">
        <v>232</v>
      </c>
      <c r="B458" s="24" t="s">
        <v>9139</v>
      </c>
      <c r="C458" s="23" t="s">
        <v>9143</v>
      </c>
      <c r="D458" s="23" t="s">
        <v>9143</v>
      </c>
      <c r="E458" s="23">
        <v>2</v>
      </c>
    </row>
    <row r="459" spans="1:5" x14ac:dyDescent="0.25">
      <c r="A459" s="24">
        <v>233</v>
      </c>
      <c r="B459" s="24" t="s">
        <v>9144</v>
      </c>
      <c r="C459" s="24" t="s">
        <v>9145</v>
      </c>
      <c r="D459" s="25" t="s">
        <v>9146</v>
      </c>
      <c r="E459" s="23">
        <v>2</v>
      </c>
    </row>
    <row r="460" spans="1:5" x14ac:dyDescent="0.25">
      <c r="A460" s="24">
        <v>234</v>
      </c>
      <c r="B460" s="24" t="s">
        <v>9147</v>
      </c>
      <c r="C460" s="24" t="s">
        <v>9148</v>
      </c>
      <c r="D460" s="25" t="s">
        <v>9149</v>
      </c>
      <c r="E460" s="23">
        <v>2</v>
      </c>
    </row>
    <row r="461" spans="1:5" x14ac:dyDescent="0.25">
      <c r="A461" s="24">
        <v>235</v>
      </c>
      <c r="B461" s="24" t="s">
        <v>9150</v>
      </c>
      <c r="C461" s="24" t="s">
        <v>9151</v>
      </c>
      <c r="D461" s="25" t="s">
        <v>9152</v>
      </c>
      <c r="E461" s="23">
        <v>2</v>
      </c>
    </row>
    <row r="462" spans="1:5" x14ac:dyDescent="0.25">
      <c r="A462" s="24">
        <v>235</v>
      </c>
      <c r="B462" s="24" t="s">
        <v>9150</v>
      </c>
      <c r="C462" s="24" t="s">
        <v>9151</v>
      </c>
      <c r="D462" s="23" t="s">
        <v>9153</v>
      </c>
      <c r="E462" s="23">
        <v>2</v>
      </c>
    </row>
    <row r="463" spans="1:5" x14ac:dyDescent="0.25">
      <c r="A463" s="24">
        <v>236</v>
      </c>
      <c r="B463" s="24" t="s">
        <v>9150</v>
      </c>
      <c r="C463" s="23" t="s">
        <v>9153</v>
      </c>
      <c r="D463" s="23" t="s">
        <v>9153</v>
      </c>
      <c r="E463" s="23">
        <v>2</v>
      </c>
    </row>
    <row r="464" spans="1:5" x14ac:dyDescent="0.25">
      <c r="A464" s="24">
        <v>627</v>
      </c>
      <c r="B464" s="24" t="s">
        <v>9154</v>
      </c>
      <c r="C464" s="24" t="s">
        <v>9155</v>
      </c>
      <c r="D464" s="25" t="s">
        <v>9156</v>
      </c>
      <c r="E464" s="23">
        <v>2</v>
      </c>
    </row>
    <row r="465" spans="1:5" x14ac:dyDescent="0.25">
      <c r="A465" s="24">
        <v>627</v>
      </c>
      <c r="B465" s="24" t="s">
        <v>9154</v>
      </c>
      <c r="C465" s="24" t="s">
        <v>9155</v>
      </c>
      <c r="D465" s="23" t="s">
        <v>9157</v>
      </c>
      <c r="E465" s="23">
        <v>2</v>
      </c>
    </row>
    <row r="466" spans="1:5" x14ac:dyDescent="0.25">
      <c r="A466" s="24">
        <v>627</v>
      </c>
      <c r="B466" s="24" t="s">
        <v>9154</v>
      </c>
      <c r="C466" s="24" t="s">
        <v>9155</v>
      </c>
      <c r="D466" s="23" t="s">
        <v>9158</v>
      </c>
      <c r="E466" s="23">
        <v>2</v>
      </c>
    </row>
    <row r="467" spans="1:5" x14ac:dyDescent="0.25">
      <c r="A467" s="24">
        <v>627</v>
      </c>
      <c r="B467" s="24" t="s">
        <v>9154</v>
      </c>
      <c r="C467" s="24" t="s">
        <v>9155</v>
      </c>
      <c r="D467" s="23" t="s">
        <v>9159</v>
      </c>
      <c r="E467" s="23">
        <v>2</v>
      </c>
    </row>
    <row r="468" spans="1:5" x14ac:dyDescent="0.25">
      <c r="A468" s="24">
        <v>627</v>
      </c>
      <c r="B468" s="24" t="s">
        <v>9154</v>
      </c>
      <c r="C468" s="24" t="s">
        <v>9155</v>
      </c>
      <c r="D468" s="23" t="s">
        <v>9160</v>
      </c>
      <c r="E468" s="23">
        <v>2</v>
      </c>
    </row>
    <row r="469" spans="1:5" x14ac:dyDescent="0.25">
      <c r="A469" s="24">
        <v>627</v>
      </c>
      <c r="B469" s="24" t="s">
        <v>9154</v>
      </c>
      <c r="C469" s="24" t="s">
        <v>9155</v>
      </c>
      <c r="D469" s="23" t="s">
        <v>9161</v>
      </c>
      <c r="E469" s="23">
        <v>2</v>
      </c>
    </row>
    <row r="470" spans="1:5" x14ac:dyDescent="0.25">
      <c r="A470" s="24">
        <v>627</v>
      </c>
      <c r="B470" s="24" t="s">
        <v>9154</v>
      </c>
      <c r="C470" s="24" t="s">
        <v>9155</v>
      </c>
      <c r="D470" s="23" t="s">
        <v>9162</v>
      </c>
      <c r="E470" s="23">
        <v>2</v>
      </c>
    </row>
    <row r="471" spans="1:5" x14ac:dyDescent="0.25">
      <c r="A471" s="24">
        <v>627</v>
      </c>
      <c r="B471" s="24" t="s">
        <v>9154</v>
      </c>
      <c r="C471" s="24" t="s">
        <v>9155</v>
      </c>
      <c r="D471" s="23" t="s">
        <v>9163</v>
      </c>
      <c r="E471" s="23">
        <v>2</v>
      </c>
    </row>
    <row r="472" spans="1:5" x14ac:dyDescent="0.25">
      <c r="A472" s="24">
        <v>627</v>
      </c>
      <c r="B472" s="24" t="s">
        <v>9154</v>
      </c>
      <c r="C472" s="24" t="s">
        <v>9155</v>
      </c>
      <c r="D472" s="23" t="s">
        <v>9164</v>
      </c>
      <c r="E472" s="23">
        <v>2</v>
      </c>
    </row>
    <row r="473" spans="1:5" x14ac:dyDescent="0.25">
      <c r="A473" s="24">
        <v>627</v>
      </c>
      <c r="B473" s="24" t="s">
        <v>9154</v>
      </c>
      <c r="C473" s="24" t="s">
        <v>9155</v>
      </c>
      <c r="D473" s="23" t="s">
        <v>9165</v>
      </c>
      <c r="E473" s="23">
        <v>2</v>
      </c>
    </row>
    <row r="474" spans="1:5" x14ac:dyDescent="0.25">
      <c r="A474" s="24">
        <v>627</v>
      </c>
      <c r="B474" s="24" t="s">
        <v>9154</v>
      </c>
      <c r="C474" s="24" t="s">
        <v>9155</v>
      </c>
      <c r="D474" s="23" t="s">
        <v>9166</v>
      </c>
      <c r="E474" s="23">
        <v>2</v>
      </c>
    </row>
    <row r="475" spans="1:5" x14ac:dyDescent="0.25">
      <c r="A475" s="24">
        <v>237</v>
      </c>
      <c r="B475" s="24" t="s">
        <v>9154</v>
      </c>
      <c r="C475" s="25" t="s">
        <v>9156</v>
      </c>
      <c r="D475" s="25" t="s">
        <v>9156</v>
      </c>
      <c r="E475" s="23">
        <v>2</v>
      </c>
    </row>
    <row r="476" spans="1:5" x14ac:dyDescent="0.25">
      <c r="A476" s="24">
        <v>238</v>
      </c>
      <c r="B476" s="24" t="s">
        <v>9154</v>
      </c>
      <c r="C476" s="23" t="s">
        <v>9157</v>
      </c>
      <c r="D476" s="23" t="s">
        <v>9157</v>
      </c>
      <c r="E476" s="23">
        <v>2</v>
      </c>
    </row>
    <row r="477" spans="1:5" x14ac:dyDescent="0.25">
      <c r="A477" s="24">
        <v>239</v>
      </c>
      <c r="B477" s="24" t="s">
        <v>9154</v>
      </c>
      <c r="C477" s="23" t="s">
        <v>9158</v>
      </c>
      <c r="D477" s="23" t="s">
        <v>9158</v>
      </c>
      <c r="E477" s="23">
        <v>2</v>
      </c>
    </row>
    <row r="478" spans="1:5" x14ac:dyDescent="0.25">
      <c r="A478" s="24">
        <v>240</v>
      </c>
      <c r="B478" s="24" t="s">
        <v>9154</v>
      </c>
      <c r="C478" s="23" t="s">
        <v>9159</v>
      </c>
      <c r="D478" s="23" t="s">
        <v>9159</v>
      </c>
      <c r="E478" s="23">
        <v>2</v>
      </c>
    </row>
    <row r="479" spans="1:5" x14ac:dyDescent="0.25">
      <c r="A479" s="24">
        <v>241</v>
      </c>
      <c r="B479" s="24" t="s">
        <v>9154</v>
      </c>
      <c r="C479" s="23" t="s">
        <v>9160</v>
      </c>
      <c r="D479" s="23" t="s">
        <v>9160</v>
      </c>
      <c r="E479" s="23">
        <v>2</v>
      </c>
    </row>
    <row r="480" spans="1:5" x14ac:dyDescent="0.25">
      <c r="A480" s="24">
        <v>242</v>
      </c>
      <c r="B480" s="24" t="s">
        <v>9154</v>
      </c>
      <c r="C480" s="23" t="s">
        <v>9161</v>
      </c>
      <c r="D480" s="23" t="s">
        <v>9161</v>
      </c>
      <c r="E480" s="23">
        <v>2</v>
      </c>
    </row>
    <row r="481" spans="1:5" x14ac:dyDescent="0.25">
      <c r="A481" s="24">
        <v>243</v>
      </c>
      <c r="B481" s="24" t="s">
        <v>9154</v>
      </c>
      <c r="C481" s="23" t="s">
        <v>9162</v>
      </c>
      <c r="D481" s="23" t="s">
        <v>9162</v>
      </c>
      <c r="E481" s="23">
        <v>2</v>
      </c>
    </row>
    <row r="482" spans="1:5" x14ac:dyDescent="0.25">
      <c r="A482" s="24">
        <v>244</v>
      </c>
      <c r="B482" s="24" t="s">
        <v>9154</v>
      </c>
      <c r="C482" s="23" t="s">
        <v>9163</v>
      </c>
      <c r="D482" s="23" t="s">
        <v>9163</v>
      </c>
      <c r="E482" s="23">
        <v>2</v>
      </c>
    </row>
    <row r="483" spans="1:5" x14ac:dyDescent="0.25">
      <c r="A483" s="24">
        <v>245</v>
      </c>
      <c r="B483" s="24" t="s">
        <v>9154</v>
      </c>
      <c r="C483" s="23" t="s">
        <v>9164</v>
      </c>
      <c r="D483" s="23" t="s">
        <v>9164</v>
      </c>
      <c r="E483" s="23">
        <v>2</v>
      </c>
    </row>
    <row r="484" spans="1:5" x14ac:dyDescent="0.25">
      <c r="A484" s="24">
        <v>246</v>
      </c>
      <c r="B484" s="24" t="s">
        <v>9154</v>
      </c>
      <c r="C484" s="23" t="s">
        <v>9165</v>
      </c>
      <c r="D484" s="23" t="s">
        <v>9165</v>
      </c>
      <c r="E484" s="23">
        <v>2</v>
      </c>
    </row>
    <row r="485" spans="1:5" x14ac:dyDescent="0.25">
      <c r="A485" s="24">
        <v>247</v>
      </c>
      <c r="B485" s="24" t="s">
        <v>9154</v>
      </c>
      <c r="C485" s="23" t="s">
        <v>9166</v>
      </c>
      <c r="D485" s="23" t="s">
        <v>9166</v>
      </c>
      <c r="E485" s="23">
        <v>2</v>
      </c>
    </row>
    <row r="486" spans="1:5" x14ac:dyDescent="0.25">
      <c r="A486" s="24">
        <v>628</v>
      </c>
      <c r="B486" s="24" t="s">
        <v>9167</v>
      </c>
      <c r="C486" s="24" t="s">
        <v>9168</v>
      </c>
      <c r="D486" s="25" t="s">
        <v>9169</v>
      </c>
      <c r="E486" s="23">
        <v>2</v>
      </c>
    </row>
    <row r="487" spans="1:5" x14ac:dyDescent="0.25">
      <c r="A487" s="24">
        <v>628</v>
      </c>
      <c r="B487" s="24" t="s">
        <v>9167</v>
      </c>
      <c r="C487" s="24" t="s">
        <v>9168</v>
      </c>
      <c r="D487" s="23" t="s">
        <v>9170</v>
      </c>
      <c r="E487" s="23">
        <v>2</v>
      </c>
    </row>
    <row r="488" spans="1:5" x14ac:dyDescent="0.25">
      <c r="A488" s="24">
        <v>628</v>
      </c>
      <c r="B488" s="24" t="s">
        <v>9167</v>
      </c>
      <c r="C488" s="24" t="s">
        <v>9168</v>
      </c>
      <c r="D488" s="23" t="s">
        <v>9171</v>
      </c>
      <c r="E488" s="23">
        <v>2</v>
      </c>
    </row>
    <row r="489" spans="1:5" x14ac:dyDescent="0.25">
      <c r="A489" s="24">
        <v>628</v>
      </c>
      <c r="B489" s="24" t="s">
        <v>9167</v>
      </c>
      <c r="C489" s="24" t="s">
        <v>9168</v>
      </c>
      <c r="D489" s="23" t="s">
        <v>9172</v>
      </c>
      <c r="E489" s="23">
        <v>2</v>
      </c>
    </row>
    <row r="490" spans="1:5" x14ac:dyDescent="0.25">
      <c r="A490" s="24">
        <v>628</v>
      </c>
      <c r="B490" s="24" t="s">
        <v>9167</v>
      </c>
      <c r="C490" s="24" t="s">
        <v>9168</v>
      </c>
      <c r="D490" s="23" t="s">
        <v>9173</v>
      </c>
      <c r="E490" s="23">
        <v>2</v>
      </c>
    </row>
    <row r="491" spans="1:5" x14ac:dyDescent="0.25">
      <c r="A491" s="24">
        <v>628</v>
      </c>
      <c r="B491" s="24" t="s">
        <v>9167</v>
      </c>
      <c r="C491" s="24" t="s">
        <v>9168</v>
      </c>
      <c r="D491" s="23" t="s">
        <v>9174</v>
      </c>
      <c r="E491" s="23">
        <v>2</v>
      </c>
    </row>
    <row r="492" spans="1:5" x14ac:dyDescent="0.25">
      <c r="A492" s="24">
        <v>628</v>
      </c>
      <c r="B492" s="24" t="s">
        <v>9167</v>
      </c>
      <c r="C492" s="24" t="s">
        <v>9168</v>
      </c>
      <c r="D492" s="23" t="s">
        <v>9175</v>
      </c>
      <c r="E492" s="23">
        <v>2</v>
      </c>
    </row>
    <row r="493" spans="1:5" x14ac:dyDescent="0.25">
      <c r="A493" s="24">
        <v>628</v>
      </c>
      <c r="B493" s="24" t="s">
        <v>9167</v>
      </c>
      <c r="C493" s="24" t="s">
        <v>9168</v>
      </c>
      <c r="D493" s="23" t="s">
        <v>9176</v>
      </c>
      <c r="E493" s="23">
        <v>2</v>
      </c>
    </row>
    <row r="494" spans="1:5" x14ac:dyDescent="0.25">
      <c r="A494" s="24">
        <v>628</v>
      </c>
      <c r="B494" s="24" t="s">
        <v>9167</v>
      </c>
      <c r="C494" s="24" t="s">
        <v>9168</v>
      </c>
      <c r="D494" s="23" t="s">
        <v>9177</v>
      </c>
      <c r="E494" s="23">
        <v>2</v>
      </c>
    </row>
    <row r="495" spans="1:5" x14ac:dyDescent="0.25">
      <c r="A495" s="24">
        <v>628</v>
      </c>
      <c r="B495" s="24" t="s">
        <v>9167</v>
      </c>
      <c r="C495" s="24" t="s">
        <v>9168</v>
      </c>
      <c r="D495" s="23" t="s">
        <v>9178</v>
      </c>
      <c r="E495" s="23">
        <v>2</v>
      </c>
    </row>
    <row r="496" spans="1:5" x14ac:dyDescent="0.25">
      <c r="A496" s="24">
        <v>628</v>
      </c>
      <c r="B496" s="24" t="s">
        <v>9167</v>
      </c>
      <c r="C496" s="24" t="s">
        <v>9168</v>
      </c>
      <c r="D496" s="23" t="s">
        <v>9179</v>
      </c>
      <c r="E496" s="23">
        <v>2</v>
      </c>
    </row>
    <row r="497" spans="1:5" x14ac:dyDescent="0.25">
      <c r="A497" s="24">
        <v>628</v>
      </c>
      <c r="B497" s="24" t="s">
        <v>9167</v>
      </c>
      <c r="C497" s="24" t="s">
        <v>9168</v>
      </c>
      <c r="D497" s="23" t="s">
        <v>9180</v>
      </c>
      <c r="E497" s="23">
        <v>2</v>
      </c>
    </row>
    <row r="498" spans="1:5" x14ac:dyDescent="0.25">
      <c r="A498" s="24">
        <v>628</v>
      </c>
      <c r="B498" s="24" t="s">
        <v>9167</v>
      </c>
      <c r="C498" s="24" t="s">
        <v>9168</v>
      </c>
      <c r="D498" s="23" t="s">
        <v>9181</v>
      </c>
      <c r="E498" s="23">
        <v>2</v>
      </c>
    </row>
    <row r="499" spans="1:5" x14ac:dyDescent="0.25">
      <c r="A499" s="24">
        <v>628</v>
      </c>
      <c r="B499" s="24" t="s">
        <v>9167</v>
      </c>
      <c r="C499" s="24" t="s">
        <v>9168</v>
      </c>
      <c r="D499" s="23" t="s">
        <v>9182</v>
      </c>
      <c r="E499" s="23">
        <v>2</v>
      </c>
    </row>
    <row r="500" spans="1:5" x14ac:dyDescent="0.25">
      <c r="A500" s="24">
        <v>628</v>
      </c>
      <c r="B500" s="24" t="s">
        <v>9167</v>
      </c>
      <c r="C500" s="24" t="s">
        <v>9168</v>
      </c>
      <c r="D500" s="23" t="s">
        <v>9183</v>
      </c>
      <c r="E500" s="23">
        <v>2</v>
      </c>
    </row>
    <row r="501" spans="1:5" x14ac:dyDescent="0.25">
      <c r="A501" s="24">
        <v>628</v>
      </c>
      <c r="B501" s="24" t="s">
        <v>9167</v>
      </c>
      <c r="C501" s="24" t="s">
        <v>9168</v>
      </c>
      <c r="D501" s="23" t="s">
        <v>9184</v>
      </c>
      <c r="E501" s="23">
        <v>2</v>
      </c>
    </row>
    <row r="502" spans="1:5" x14ac:dyDescent="0.25">
      <c r="A502" s="24">
        <v>628</v>
      </c>
      <c r="B502" s="24" t="s">
        <v>9167</v>
      </c>
      <c r="C502" s="24" t="s">
        <v>9168</v>
      </c>
      <c r="D502" s="23" t="s">
        <v>9185</v>
      </c>
      <c r="E502" s="23">
        <v>2</v>
      </c>
    </row>
    <row r="503" spans="1:5" x14ac:dyDescent="0.25">
      <c r="A503" s="24">
        <v>628</v>
      </c>
      <c r="B503" s="24" t="s">
        <v>9167</v>
      </c>
      <c r="C503" s="24" t="s">
        <v>9168</v>
      </c>
      <c r="D503" s="23" t="s">
        <v>9186</v>
      </c>
      <c r="E503" s="23">
        <v>2</v>
      </c>
    </row>
    <row r="504" spans="1:5" x14ac:dyDescent="0.25">
      <c r="A504" s="24">
        <v>628</v>
      </c>
      <c r="B504" s="24" t="s">
        <v>9167</v>
      </c>
      <c r="C504" s="24" t="s">
        <v>9168</v>
      </c>
      <c r="D504" s="23" t="s">
        <v>9187</v>
      </c>
      <c r="E504" s="23">
        <v>2</v>
      </c>
    </row>
    <row r="505" spans="1:5" x14ac:dyDescent="0.25">
      <c r="A505" s="24">
        <v>248</v>
      </c>
      <c r="B505" s="24" t="s">
        <v>9167</v>
      </c>
      <c r="C505" s="25" t="s">
        <v>9169</v>
      </c>
      <c r="D505" s="25" t="s">
        <v>9169</v>
      </c>
      <c r="E505" s="23">
        <v>2</v>
      </c>
    </row>
    <row r="506" spans="1:5" x14ac:dyDescent="0.25">
      <c r="A506" s="24">
        <v>249</v>
      </c>
      <c r="B506" s="24" t="s">
        <v>9167</v>
      </c>
      <c r="C506" s="23" t="s">
        <v>9170</v>
      </c>
      <c r="D506" s="23" t="s">
        <v>9170</v>
      </c>
      <c r="E506" s="23">
        <v>2</v>
      </c>
    </row>
    <row r="507" spans="1:5" x14ac:dyDescent="0.25">
      <c r="A507" s="24">
        <v>250</v>
      </c>
      <c r="B507" s="24" t="s">
        <v>9167</v>
      </c>
      <c r="C507" s="23" t="s">
        <v>9171</v>
      </c>
      <c r="D507" s="23" t="s">
        <v>9171</v>
      </c>
      <c r="E507" s="23">
        <v>2</v>
      </c>
    </row>
    <row r="508" spans="1:5" x14ac:dyDescent="0.25">
      <c r="A508" s="24">
        <v>251</v>
      </c>
      <c r="B508" s="24" t="s">
        <v>9167</v>
      </c>
      <c r="C508" s="23" t="s">
        <v>9172</v>
      </c>
      <c r="D508" s="23" t="s">
        <v>9172</v>
      </c>
      <c r="E508" s="23">
        <v>2</v>
      </c>
    </row>
    <row r="509" spans="1:5" x14ac:dyDescent="0.25">
      <c r="A509" s="24">
        <v>252</v>
      </c>
      <c r="B509" s="24" t="s">
        <v>9167</v>
      </c>
      <c r="C509" s="23" t="s">
        <v>9173</v>
      </c>
      <c r="D509" s="23" t="s">
        <v>9173</v>
      </c>
      <c r="E509" s="23">
        <v>2</v>
      </c>
    </row>
    <row r="510" spans="1:5" x14ac:dyDescent="0.25">
      <c r="A510" s="24">
        <v>253</v>
      </c>
      <c r="B510" s="24" t="s">
        <v>9167</v>
      </c>
      <c r="C510" s="23" t="s">
        <v>9174</v>
      </c>
      <c r="D510" s="23" t="s">
        <v>9174</v>
      </c>
      <c r="E510" s="23">
        <v>2</v>
      </c>
    </row>
    <row r="511" spans="1:5" x14ac:dyDescent="0.25">
      <c r="A511" s="24">
        <v>254</v>
      </c>
      <c r="B511" s="24" t="s">
        <v>9167</v>
      </c>
      <c r="C511" s="23" t="s">
        <v>9175</v>
      </c>
      <c r="D511" s="23" t="s">
        <v>9175</v>
      </c>
      <c r="E511" s="23">
        <v>2</v>
      </c>
    </row>
    <row r="512" spans="1:5" x14ac:dyDescent="0.25">
      <c r="A512" s="24">
        <v>255</v>
      </c>
      <c r="B512" s="24" t="s">
        <v>9167</v>
      </c>
      <c r="C512" s="23" t="s">
        <v>9176</v>
      </c>
      <c r="D512" s="23" t="s">
        <v>9176</v>
      </c>
      <c r="E512" s="23">
        <v>2</v>
      </c>
    </row>
    <row r="513" spans="1:5" x14ac:dyDescent="0.25">
      <c r="A513" s="24">
        <v>256</v>
      </c>
      <c r="B513" s="24" t="s">
        <v>9167</v>
      </c>
      <c r="C513" s="23" t="s">
        <v>9177</v>
      </c>
      <c r="D513" s="23" t="s">
        <v>9177</v>
      </c>
      <c r="E513" s="23">
        <v>2</v>
      </c>
    </row>
    <row r="514" spans="1:5" x14ac:dyDescent="0.25">
      <c r="A514" s="24">
        <v>257</v>
      </c>
      <c r="B514" s="24" t="s">
        <v>9167</v>
      </c>
      <c r="C514" s="23" t="s">
        <v>9178</v>
      </c>
      <c r="D514" s="23" t="s">
        <v>9178</v>
      </c>
      <c r="E514" s="23">
        <v>2</v>
      </c>
    </row>
    <row r="515" spans="1:5" x14ac:dyDescent="0.25">
      <c r="A515" s="24">
        <v>258</v>
      </c>
      <c r="B515" s="24" t="s">
        <v>9167</v>
      </c>
      <c r="C515" s="23" t="s">
        <v>9179</v>
      </c>
      <c r="D515" s="23" t="s">
        <v>9179</v>
      </c>
      <c r="E515" s="23">
        <v>2</v>
      </c>
    </row>
    <row r="516" spans="1:5" x14ac:dyDescent="0.25">
      <c r="A516" s="24">
        <v>259</v>
      </c>
      <c r="B516" s="24" t="s">
        <v>9167</v>
      </c>
      <c r="C516" s="23" t="s">
        <v>9180</v>
      </c>
      <c r="D516" s="23" t="s">
        <v>9180</v>
      </c>
      <c r="E516" s="23">
        <v>2</v>
      </c>
    </row>
    <row r="517" spans="1:5" x14ac:dyDescent="0.25">
      <c r="A517" s="24">
        <v>260</v>
      </c>
      <c r="B517" s="24" t="s">
        <v>9167</v>
      </c>
      <c r="C517" s="23" t="s">
        <v>9181</v>
      </c>
      <c r="D517" s="23" t="s">
        <v>9181</v>
      </c>
      <c r="E517" s="23">
        <v>2</v>
      </c>
    </row>
    <row r="518" spans="1:5" x14ac:dyDescent="0.25">
      <c r="A518" s="24">
        <v>261</v>
      </c>
      <c r="B518" s="24" t="s">
        <v>9167</v>
      </c>
      <c r="C518" s="23" t="s">
        <v>9182</v>
      </c>
      <c r="D518" s="23" t="s">
        <v>9182</v>
      </c>
      <c r="E518" s="23">
        <v>2</v>
      </c>
    </row>
    <row r="519" spans="1:5" x14ac:dyDescent="0.25">
      <c r="A519" s="24">
        <v>262</v>
      </c>
      <c r="B519" s="24" t="s">
        <v>9167</v>
      </c>
      <c r="C519" s="23" t="s">
        <v>9183</v>
      </c>
      <c r="D519" s="23" t="s">
        <v>9183</v>
      </c>
      <c r="E519" s="23">
        <v>2</v>
      </c>
    </row>
    <row r="520" spans="1:5" x14ac:dyDescent="0.25">
      <c r="A520" s="24">
        <v>263</v>
      </c>
      <c r="B520" s="24" t="s">
        <v>9167</v>
      </c>
      <c r="C520" s="23" t="s">
        <v>9184</v>
      </c>
      <c r="D520" s="23" t="s">
        <v>9184</v>
      </c>
      <c r="E520" s="23">
        <v>2</v>
      </c>
    </row>
    <row r="521" spans="1:5" x14ac:dyDescent="0.25">
      <c r="A521" s="24">
        <v>264</v>
      </c>
      <c r="B521" s="24" t="s">
        <v>9167</v>
      </c>
      <c r="C521" s="23" t="s">
        <v>9185</v>
      </c>
      <c r="D521" s="23" t="s">
        <v>9185</v>
      </c>
      <c r="E521" s="23">
        <v>2</v>
      </c>
    </row>
    <row r="522" spans="1:5" x14ac:dyDescent="0.25">
      <c r="A522" s="24">
        <v>265</v>
      </c>
      <c r="B522" s="24" t="s">
        <v>9167</v>
      </c>
      <c r="C522" s="23" t="s">
        <v>9186</v>
      </c>
      <c r="D522" s="23" t="s">
        <v>9186</v>
      </c>
      <c r="E522" s="23">
        <v>2</v>
      </c>
    </row>
    <row r="523" spans="1:5" x14ac:dyDescent="0.25">
      <c r="A523" s="24">
        <v>266</v>
      </c>
      <c r="B523" s="24" t="s">
        <v>9167</v>
      </c>
      <c r="C523" s="23" t="s">
        <v>9187</v>
      </c>
      <c r="D523" s="23" t="s">
        <v>9187</v>
      </c>
      <c r="E523" s="23">
        <v>2</v>
      </c>
    </row>
    <row r="524" spans="1:5" x14ac:dyDescent="0.25">
      <c r="A524" s="24">
        <v>629</v>
      </c>
      <c r="B524" s="24" t="s">
        <v>9188</v>
      </c>
      <c r="C524" s="24" t="s">
        <v>9189</v>
      </c>
      <c r="D524" s="25" t="s">
        <v>9190</v>
      </c>
      <c r="E524" s="23">
        <v>2</v>
      </c>
    </row>
    <row r="525" spans="1:5" x14ac:dyDescent="0.25">
      <c r="A525" s="24">
        <v>629</v>
      </c>
      <c r="B525" s="24" t="s">
        <v>9188</v>
      </c>
      <c r="C525" s="24" t="s">
        <v>9189</v>
      </c>
      <c r="D525" s="23" t="s">
        <v>9191</v>
      </c>
      <c r="E525" s="23">
        <v>2</v>
      </c>
    </row>
    <row r="526" spans="1:5" x14ac:dyDescent="0.25">
      <c r="A526" s="24">
        <v>629</v>
      </c>
      <c r="B526" s="24" t="s">
        <v>9188</v>
      </c>
      <c r="C526" s="24" t="s">
        <v>9189</v>
      </c>
      <c r="D526" s="23" t="s">
        <v>9192</v>
      </c>
      <c r="E526" s="23">
        <v>2</v>
      </c>
    </row>
    <row r="527" spans="1:5" x14ac:dyDescent="0.25">
      <c r="A527" s="24">
        <v>629</v>
      </c>
      <c r="B527" s="24" t="s">
        <v>9188</v>
      </c>
      <c r="C527" s="24" t="s">
        <v>9189</v>
      </c>
      <c r="D527" s="23" t="s">
        <v>9193</v>
      </c>
      <c r="E527" s="23">
        <v>2</v>
      </c>
    </row>
    <row r="528" spans="1:5" x14ac:dyDescent="0.25">
      <c r="A528" s="24">
        <v>629</v>
      </c>
      <c r="B528" s="24" t="s">
        <v>9188</v>
      </c>
      <c r="C528" s="24" t="s">
        <v>9189</v>
      </c>
      <c r="D528" s="23" t="s">
        <v>9194</v>
      </c>
      <c r="E528" s="23">
        <v>2</v>
      </c>
    </row>
    <row r="529" spans="1:5" x14ac:dyDescent="0.25">
      <c r="A529" s="24">
        <v>629</v>
      </c>
      <c r="B529" s="24" t="s">
        <v>9188</v>
      </c>
      <c r="C529" s="24" t="s">
        <v>9189</v>
      </c>
      <c r="D529" s="23" t="s">
        <v>9195</v>
      </c>
      <c r="E529" s="23">
        <v>2</v>
      </c>
    </row>
    <row r="530" spans="1:5" x14ac:dyDescent="0.25">
      <c r="A530" s="24">
        <v>629</v>
      </c>
      <c r="B530" s="24" t="s">
        <v>9188</v>
      </c>
      <c r="C530" s="24" t="s">
        <v>9189</v>
      </c>
      <c r="D530" s="23" t="s">
        <v>9196</v>
      </c>
      <c r="E530" s="23">
        <v>2</v>
      </c>
    </row>
    <row r="531" spans="1:5" x14ac:dyDescent="0.25">
      <c r="A531" s="24">
        <v>629</v>
      </c>
      <c r="B531" s="24" t="s">
        <v>9188</v>
      </c>
      <c r="C531" s="24" t="s">
        <v>9189</v>
      </c>
      <c r="D531" s="23" t="s">
        <v>9197</v>
      </c>
      <c r="E531" s="23">
        <v>2</v>
      </c>
    </row>
    <row r="532" spans="1:5" x14ac:dyDescent="0.25">
      <c r="A532" s="24">
        <v>629</v>
      </c>
      <c r="B532" s="24" t="s">
        <v>9188</v>
      </c>
      <c r="C532" s="24" t="s">
        <v>9189</v>
      </c>
      <c r="D532" s="23" t="s">
        <v>9198</v>
      </c>
      <c r="E532" s="23">
        <v>2</v>
      </c>
    </row>
    <row r="533" spans="1:5" x14ac:dyDescent="0.25">
      <c r="A533" s="24">
        <v>629</v>
      </c>
      <c r="B533" s="24" t="s">
        <v>9188</v>
      </c>
      <c r="C533" s="24" t="s">
        <v>9189</v>
      </c>
      <c r="D533" s="23" t="s">
        <v>9199</v>
      </c>
      <c r="E533" s="23">
        <v>2</v>
      </c>
    </row>
    <row r="534" spans="1:5" x14ac:dyDescent="0.25">
      <c r="A534" s="24">
        <v>629</v>
      </c>
      <c r="B534" s="24" t="s">
        <v>9188</v>
      </c>
      <c r="C534" s="24" t="s">
        <v>9189</v>
      </c>
      <c r="D534" s="23" t="s">
        <v>9200</v>
      </c>
      <c r="E534" s="23">
        <v>2</v>
      </c>
    </row>
    <row r="535" spans="1:5" x14ac:dyDescent="0.25">
      <c r="A535" s="24">
        <v>629</v>
      </c>
      <c r="B535" s="24" t="s">
        <v>9188</v>
      </c>
      <c r="C535" s="24" t="s">
        <v>9189</v>
      </c>
      <c r="D535" s="23" t="s">
        <v>9201</v>
      </c>
      <c r="E535" s="23">
        <v>2</v>
      </c>
    </row>
    <row r="536" spans="1:5" x14ac:dyDescent="0.25">
      <c r="A536" s="24">
        <v>629</v>
      </c>
      <c r="B536" s="24" t="s">
        <v>9188</v>
      </c>
      <c r="C536" s="24" t="s">
        <v>9189</v>
      </c>
      <c r="D536" s="23" t="s">
        <v>9202</v>
      </c>
      <c r="E536" s="23">
        <v>2</v>
      </c>
    </row>
    <row r="537" spans="1:5" x14ac:dyDescent="0.25">
      <c r="A537" s="24">
        <v>629</v>
      </c>
      <c r="B537" s="24" t="s">
        <v>9188</v>
      </c>
      <c r="C537" s="24" t="s">
        <v>9189</v>
      </c>
      <c r="D537" s="23" t="s">
        <v>9203</v>
      </c>
      <c r="E537" s="23">
        <v>2</v>
      </c>
    </row>
    <row r="538" spans="1:5" x14ac:dyDescent="0.25">
      <c r="A538" s="24">
        <v>629</v>
      </c>
      <c r="B538" s="24" t="s">
        <v>9188</v>
      </c>
      <c r="C538" s="24" t="s">
        <v>9189</v>
      </c>
      <c r="D538" s="23" t="s">
        <v>9204</v>
      </c>
      <c r="E538" s="23">
        <v>2</v>
      </c>
    </row>
    <row r="539" spans="1:5" x14ac:dyDescent="0.25">
      <c r="A539" s="24">
        <v>629</v>
      </c>
      <c r="B539" s="24" t="s">
        <v>9188</v>
      </c>
      <c r="C539" s="24" t="s">
        <v>9189</v>
      </c>
      <c r="D539" s="23" t="s">
        <v>9205</v>
      </c>
      <c r="E539" s="23">
        <v>2</v>
      </c>
    </row>
    <row r="540" spans="1:5" x14ac:dyDescent="0.25">
      <c r="A540" s="24">
        <v>629</v>
      </c>
      <c r="B540" s="24" t="s">
        <v>9188</v>
      </c>
      <c r="C540" s="24" t="s">
        <v>9189</v>
      </c>
      <c r="D540" s="23" t="s">
        <v>9206</v>
      </c>
      <c r="E540" s="23">
        <v>2</v>
      </c>
    </row>
    <row r="541" spans="1:5" x14ac:dyDescent="0.25">
      <c r="A541" s="24">
        <v>629</v>
      </c>
      <c r="B541" s="24" t="s">
        <v>9188</v>
      </c>
      <c r="C541" s="24" t="s">
        <v>9189</v>
      </c>
      <c r="D541" s="23" t="s">
        <v>9207</v>
      </c>
      <c r="E541" s="23">
        <v>2</v>
      </c>
    </row>
    <row r="542" spans="1:5" x14ac:dyDescent="0.25">
      <c r="A542" s="24">
        <v>629</v>
      </c>
      <c r="B542" s="24" t="s">
        <v>9188</v>
      </c>
      <c r="C542" s="24" t="s">
        <v>9189</v>
      </c>
      <c r="D542" s="23" t="s">
        <v>9208</v>
      </c>
      <c r="E542" s="23">
        <v>2</v>
      </c>
    </row>
    <row r="543" spans="1:5" x14ac:dyDescent="0.25">
      <c r="A543" s="24">
        <v>629</v>
      </c>
      <c r="B543" s="24" t="s">
        <v>9188</v>
      </c>
      <c r="C543" s="24" t="s">
        <v>9189</v>
      </c>
      <c r="D543" s="23" t="s">
        <v>9209</v>
      </c>
      <c r="E543" s="23">
        <v>2</v>
      </c>
    </row>
    <row r="544" spans="1:5" x14ac:dyDescent="0.25">
      <c r="A544" s="24">
        <v>267</v>
      </c>
      <c r="B544" s="24" t="s">
        <v>9188</v>
      </c>
      <c r="C544" s="25" t="s">
        <v>9190</v>
      </c>
      <c r="D544" s="25" t="s">
        <v>9190</v>
      </c>
      <c r="E544" s="23">
        <v>2</v>
      </c>
    </row>
    <row r="545" spans="1:5" x14ac:dyDescent="0.25">
      <c r="A545" s="24">
        <v>268</v>
      </c>
      <c r="B545" s="24" t="s">
        <v>9188</v>
      </c>
      <c r="C545" s="23" t="s">
        <v>9191</v>
      </c>
      <c r="D545" s="23" t="s">
        <v>9191</v>
      </c>
      <c r="E545" s="23">
        <v>2</v>
      </c>
    </row>
    <row r="546" spans="1:5" x14ac:dyDescent="0.25">
      <c r="A546" s="24">
        <v>269</v>
      </c>
      <c r="B546" s="24" t="s">
        <v>9188</v>
      </c>
      <c r="C546" s="23" t="s">
        <v>9192</v>
      </c>
      <c r="D546" s="23" t="s">
        <v>9192</v>
      </c>
      <c r="E546" s="23">
        <v>2</v>
      </c>
    </row>
    <row r="547" spans="1:5" x14ac:dyDescent="0.25">
      <c r="A547" s="24">
        <v>270</v>
      </c>
      <c r="B547" s="24" t="s">
        <v>9188</v>
      </c>
      <c r="C547" s="23" t="s">
        <v>9193</v>
      </c>
      <c r="D547" s="23" t="s">
        <v>9193</v>
      </c>
      <c r="E547" s="23">
        <v>2</v>
      </c>
    </row>
    <row r="548" spans="1:5" x14ac:dyDescent="0.25">
      <c r="A548" s="24">
        <v>271</v>
      </c>
      <c r="B548" s="24" t="s">
        <v>9188</v>
      </c>
      <c r="C548" s="23" t="s">
        <v>9194</v>
      </c>
      <c r="D548" s="23" t="s">
        <v>9194</v>
      </c>
      <c r="E548" s="23">
        <v>2</v>
      </c>
    </row>
    <row r="549" spans="1:5" x14ac:dyDescent="0.25">
      <c r="A549" s="24">
        <v>272</v>
      </c>
      <c r="B549" s="24" t="s">
        <v>9188</v>
      </c>
      <c r="C549" s="23" t="s">
        <v>9195</v>
      </c>
      <c r="D549" s="23" t="s">
        <v>9195</v>
      </c>
      <c r="E549" s="23">
        <v>2</v>
      </c>
    </row>
    <row r="550" spans="1:5" x14ac:dyDescent="0.25">
      <c r="A550" s="24">
        <v>273</v>
      </c>
      <c r="B550" s="24" t="s">
        <v>9188</v>
      </c>
      <c r="C550" s="23" t="s">
        <v>9196</v>
      </c>
      <c r="D550" s="23" t="s">
        <v>9196</v>
      </c>
      <c r="E550" s="23">
        <v>2</v>
      </c>
    </row>
    <row r="551" spans="1:5" x14ac:dyDescent="0.25">
      <c r="A551" s="24">
        <v>274</v>
      </c>
      <c r="B551" s="24" t="s">
        <v>9188</v>
      </c>
      <c r="C551" s="23" t="s">
        <v>9197</v>
      </c>
      <c r="D551" s="23" t="s">
        <v>9197</v>
      </c>
      <c r="E551" s="23">
        <v>2</v>
      </c>
    </row>
    <row r="552" spans="1:5" x14ac:dyDescent="0.25">
      <c r="A552" s="24">
        <v>275</v>
      </c>
      <c r="B552" s="24" t="s">
        <v>9188</v>
      </c>
      <c r="C552" s="23" t="s">
        <v>9198</v>
      </c>
      <c r="D552" s="23" t="s">
        <v>9198</v>
      </c>
      <c r="E552" s="23">
        <v>2</v>
      </c>
    </row>
    <row r="553" spans="1:5" x14ac:dyDescent="0.25">
      <c r="A553" s="24">
        <v>276</v>
      </c>
      <c r="B553" s="24" t="s">
        <v>9188</v>
      </c>
      <c r="C553" s="23" t="s">
        <v>9199</v>
      </c>
      <c r="D553" s="23" t="s">
        <v>9199</v>
      </c>
      <c r="E553" s="23">
        <v>2</v>
      </c>
    </row>
    <row r="554" spans="1:5" x14ac:dyDescent="0.25">
      <c r="A554" s="24">
        <v>277</v>
      </c>
      <c r="B554" s="24" t="s">
        <v>9188</v>
      </c>
      <c r="C554" s="23" t="s">
        <v>9200</v>
      </c>
      <c r="D554" s="23" t="s">
        <v>9200</v>
      </c>
      <c r="E554" s="23">
        <v>2</v>
      </c>
    </row>
    <row r="555" spans="1:5" x14ac:dyDescent="0.25">
      <c r="A555" s="24">
        <v>278</v>
      </c>
      <c r="B555" s="24" t="s">
        <v>9188</v>
      </c>
      <c r="C555" s="23" t="s">
        <v>9201</v>
      </c>
      <c r="D555" s="23" t="s">
        <v>9201</v>
      </c>
      <c r="E555" s="23">
        <v>2</v>
      </c>
    </row>
    <row r="556" spans="1:5" x14ac:dyDescent="0.25">
      <c r="A556" s="24">
        <v>279</v>
      </c>
      <c r="B556" s="24" t="s">
        <v>9188</v>
      </c>
      <c r="C556" s="23" t="s">
        <v>9202</v>
      </c>
      <c r="D556" s="23" t="s">
        <v>9202</v>
      </c>
      <c r="E556" s="23">
        <v>2</v>
      </c>
    </row>
    <row r="557" spans="1:5" x14ac:dyDescent="0.25">
      <c r="A557" s="24">
        <v>280</v>
      </c>
      <c r="B557" s="24" t="s">
        <v>9188</v>
      </c>
      <c r="C557" s="23" t="s">
        <v>9203</v>
      </c>
      <c r="D557" s="23" t="s">
        <v>9203</v>
      </c>
      <c r="E557" s="23">
        <v>2</v>
      </c>
    </row>
    <row r="558" spans="1:5" x14ac:dyDescent="0.25">
      <c r="A558" s="24">
        <v>281</v>
      </c>
      <c r="B558" s="24" t="s">
        <v>9188</v>
      </c>
      <c r="C558" s="23" t="s">
        <v>9204</v>
      </c>
      <c r="D558" s="23" t="s">
        <v>9204</v>
      </c>
      <c r="E558" s="23">
        <v>2</v>
      </c>
    </row>
    <row r="559" spans="1:5" x14ac:dyDescent="0.25">
      <c r="A559" s="24">
        <v>282</v>
      </c>
      <c r="B559" s="24" t="s">
        <v>9188</v>
      </c>
      <c r="C559" s="23" t="s">
        <v>9205</v>
      </c>
      <c r="D559" s="23" t="s">
        <v>9205</v>
      </c>
      <c r="E559" s="23">
        <v>2</v>
      </c>
    </row>
    <row r="560" spans="1:5" x14ac:dyDescent="0.25">
      <c r="A560" s="24">
        <v>283</v>
      </c>
      <c r="B560" s="24" t="s">
        <v>9188</v>
      </c>
      <c r="C560" s="23" t="s">
        <v>9206</v>
      </c>
      <c r="D560" s="23" t="s">
        <v>9206</v>
      </c>
      <c r="E560" s="23">
        <v>2</v>
      </c>
    </row>
    <row r="561" spans="1:5" x14ac:dyDescent="0.25">
      <c r="A561" s="24">
        <v>284</v>
      </c>
      <c r="B561" s="24" t="s">
        <v>9188</v>
      </c>
      <c r="C561" s="23" t="s">
        <v>9207</v>
      </c>
      <c r="D561" s="23" t="s">
        <v>9207</v>
      </c>
      <c r="E561" s="23">
        <v>2</v>
      </c>
    </row>
    <row r="562" spans="1:5" x14ac:dyDescent="0.25">
      <c r="A562" s="24">
        <v>285</v>
      </c>
      <c r="B562" s="24" t="s">
        <v>9188</v>
      </c>
      <c r="C562" s="23" t="s">
        <v>9208</v>
      </c>
      <c r="D562" s="23" t="s">
        <v>9208</v>
      </c>
      <c r="E562" s="23">
        <v>2</v>
      </c>
    </row>
    <row r="563" spans="1:5" x14ac:dyDescent="0.25">
      <c r="A563" s="24">
        <v>286</v>
      </c>
      <c r="B563" s="24" t="s">
        <v>9188</v>
      </c>
      <c r="C563" s="23" t="s">
        <v>9209</v>
      </c>
      <c r="D563" s="23" t="s">
        <v>9209</v>
      </c>
      <c r="E563" s="23">
        <v>2</v>
      </c>
    </row>
    <row r="564" spans="1:5" x14ac:dyDescent="0.25">
      <c r="A564" s="24">
        <v>287</v>
      </c>
      <c r="B564" s="24" t="s">
        <v>9210</v>
      </c>
      <c r="C564" s="24" t="s">
        <v>9211</v>
      </c>
      <c r="D564" s="25" t="s">
        <v>9212</v>
      </c>
      <c r="E564" s="23">
        <v>2</v>
      </c>
    </row>
    <row r="565" spans="1:5" x14ac:dyDescent="0.25">
      <c r="A565" s="24">
        <v>630</v>
      </c>
      <c r="B565" s="24" t="s">
        <v>8848</v>
      </c>
      <c r="C565" s="24" t="s">
        <v>8849</v>
      </c>
      <c r="D565" s="25" t="s">
        <v>8850</v>
      </c>
      <c r="E565" s="23">
        <v>3</v>
      </c>
    </row>
    <row r="566" spans="1:5" x14ac:dyDescent="0.25">
      <c r="A566" s="24">
        <v>630</v>
      </c>
      <c r="B566" s="24" t="s">
        <v>8848</v>
      </c>
      <c r="C566" s="24" t="s">
        <v>8849</v>
      </c>
      <c r="D566" s="23" t="s">
        <v>8852</v>
      </c>
      <c r="E566" s="23">
        <v>3</v>
      </c>
    </row>
    <row r="567" spans="1:5" x14ac:dyDescent="0.25">
      <c r="A567" s="24">
        <v>630</v>
      </c>
      <c r="B567" s="24" t="s">
        <v>8848</v>
      </c>
      <c r="C567" s="24" t="s">
        <v>8849</v>
      </c>
      <c r="D567" s="23" t="s">
        <v>8854</v>
      </c>
      <c r="E567" s="23">
        <v>3</v>
      </c>
    </row>
    <row r="568" spans="1:5" x14ac:dyDescent="0.25">
      <c r="A568" s="24">
        <v>630</v>
      </c>
      <c r="B568" s="24" t="s">
        <v>8848</v>
      </c>
      <c r="C568" s="24" t="s">
        <v>8849</v>
      </c>
      <c r="D568" s="23" t="s">
        <v>8856</v>
      </c>
      <c r="E568" s="23">
        <v>3</v>
      </c>
    </row>
    <row r="569" spans="1:5" x14ac:dyDescent="0.25">
      <c r="A569" s="24">
        <v>630</v>
      </c>
      <c r="B569" s="24" t="s">
        <v>8848</v>
      </c>
      <c r="C569" s="24" t="s">
        <v>8849</v>
      </c>
      <c r="D569" s="23" t="s">
        <v>8857</v>
      </c>
      <c r="E569" s="23">
        <v>3</v>
      </c>
    </row>
    <row r="570" spans="1:5" x14ac:dyDescent="0.25">
      <c r="A570" s="24">
        <v>630</v>
      </c>
      <c r="B570" s="24" t="s">
        <v>8848</v>
      </c>
      <c r="C570" s="24" t="s">
        <v>8849</v>
      </c>
      <c r="D570" s="23" t="s">
        <v>8858</v>
      </c>
      <c r="E570" s="23">
        <v>3</v>
      </c>
    </row>
    <row r="571" spans="1:5" x14ac:dyDescent="0.25">
      <c r="A571" s="24">
        <v>630</v>
      </c>
      <c r="B571" s="24" t="s">
        <v>8848</v>
      </c>
      <c r="C571" s="24" t="s">
        <v>8849</v>
      </c>
      <c r="D571" s="23" t="s">
        <v>8859</v>
      </c>
      <c r="E571" s="23">
        <v>3</v>
      </c>
    </row>
    <row r="572" spans="1:5" x14ac:dyDescent="0.25">
      <c r="A572" s="24">
        <v>630</v>
      </c>
      <c r="B572" s="24" t="s">
        <v>8848</v>
      </c>
      <c r="C572" s="24" t="s">
        <v>8849</v>
      </c>
      <c r="D572" s="23" t="s">
        <v>8862</v>
      </c>
      <c r="E572" s="23">
        <v>3</v>
      </c>
    </row>
    <row r="573" spans="1:5" x14ac:dyDescent="0.25">
      <c r="A573" s="24">
        <v>288</v>
      </c>
      <c r="B573" s="24" t="s">
        <v>8848</v>
      </c>
      <c r="C573" s="25" t="s">
        <v>8850</v>
      </c>
      <c r="D573" s="25" t="s">
        <v>8850</v>
      </c>
      <c r="E573" s="23">
        <v>3</v>
      </c>
    </row>
    <row r="574" spans="1:5" x14ac:dyDescent="0.25">
      <c r="A574" s="24">
        <v>289</v>
      </c>
      <c r="B574" s="24" t="s">
        <v>8848</v>
      </c>
      <c r="C574" s="23" t="s">
        <v>8852</v>
      </c>
      <c r="D574" s="23" t="s">
        <v>8852</v>
      </c>
      <c r="E574" s="23">
        <v>3</v>
      </c>
    </row>
    <row r="575" spans="1:5" x14ac:dyDescent="0.25">
      <c r="A575" s="24">
        <v>290</v>
      </c>
      <c r="B575" s="24" t="s">
        <v>8848</v>
      </c>
      <c r="C575" s="23" t="s">
        <v>8854</v>
      </c>
      <c r="D575" s="23" t="s">
        <v>8854</v>
      </c>
      <c r="E575" s="23">
        <v>3</v>
      </c>
    </row>
    <row r="576" spans="1:5" x14ac:dyDescent="0.25">
      <c r="A576" s="24">
        <v>291</v>
      </c>
      <c r="B576" s="24" t="s">
        <v>8848</v>
      </c>
      <c r="C576" s="23" t="s">
        <v>8856</v>
      </c>
      <c r="D576" s="23" t="s">
        <v>8856</v>
      </c>
      <c r="E576" s="23">
        <v>3</v>
      </c>
    </row>
    <row r="577" spans="1:5" x14ac:dyDescent="0.25">
      <c r="A577" s="24">
        <v>292</v>
      </c>
      <c r="B577" s="24" t="s">
        <v>8848</v>
      </c>
      <c r="C577" s="23" t="s">
        <v>8857</v>
      </c>
      <c r="D577" s="23" t="s">
        <v>8857</v>
      </c>
      <c r="E577" s="23">
        <v>3</v>
      </c>
    </row>
    <row r="578" spans="1:5" x14ac:dyDescent="0.25">
      <c r="A578" s="24">
        <v>293</v>
      </c>
      <c r="B578" s="24" t="s">
        <v>8848</v>
      </c>
      <c r="C578" s="23" t="s">
        <v>8858</v>
      </c>
      <c r="D578" s="23" t="s">
        <v>8858</v>
      </c>
      <c r="E578" s="23">
        <v>3</v>
      </c>
    </row>
    <row r="579" spans="1:5" x14ac:dyDescent="0.25">
      <c r="A579" s="24">
        <v>294</v>
      </c>
      <c r="B579" s="24" t="s">
        <v>8848</v>
      </c>
      <c r="C579" s="23" t="s">
        <v>8859</v>
      </c>
      <c r="D579" s="23" t="s">
        <v>8859</v>
      </c>
      <c r="E579" s="23">
        <v>3</v>
      </c>
    </row>
    <row r="580" spans="1:5" x14ac:dyDescent="0.25">
      <c r="A580" s="24">
        <v>295</v>
      </c>
      <c r="B580" s="24" t="s">
        <v>8848</v>
      </c>
      <c r="C580" s="23" t="s">
        <v>8862</v>
      </c>
      <c r="D580" s="23" t="s">
        <v>8862</v>
      </c>
      <c r="E580" s="23">
        <v>3</v>
      </c>
    </row>
    <row r="581" spans="1:5" x14ac:dyDescent="0.25">
      <c r="A581" s="24">
        <v>631</v>
      </c>
      <c r="B581" s="24" t="s">
        <v>8865</v>
      </c>
      <c r="C581" s="24" t="s">
        <v>8866</v>
      </c>
      <c r="D581" s="25" t="s">
        <v>8867</v>
      </c>
      <c r="E581" s="23">
        <v>3</v>
      </c>
    </row>
    <row r="582" spans="1:5" x14ac:dyDescent="0.25">
      <c r="A582" s="24">
        <v>631</v>
      </c>
      <c r="B582" s="24" t="s">
        <v>8865</v>
      </c>
      <c r="C582" s="24" t="s">
        <v>8866</v>
      </c>
      <c r="D582" s="23" t="s">
        <v>8868</v>
      </c>
      <c r="E582" s="23">
        <v>3</v>
      </c>
    </row>
    <row r="583" spans="1:5" x14ac:dyDescent="0.25">
      <c r="A583" s="24">
        <v>631</v>
      </c>
      <c r="B583" s="24" t="s">
        <v>8865</v>
      </c>
      <c r="C583" s="24" t="s">
        <v>8866</v>
      </c>
      <c r="D583" s="23" t="s">
        <v>8869</v>
      </c>
      <c r="E583" s="23">
        <v>3</v>
      </c>
    </row>
    <row r="584" spans="1:5" x14ac:dyDescent="0.25">
      <c r="A584" s="24">
        <v>631</v>
      </c>
      <c r="B584" s="24" t="s">
        <v>8865</v>
      </c>
      <c r="C584" s="24" t="s">
        <v>8866</v>
      </c>
      <c r="D584" s="23" t="s">
        <v>8871</v>
      </c>
      <c r="E584" s="23">
        <v>3</v>
      </c>
    </row>
    <row r="585" spans="1:5" x14ac:dyDescent="0.25">
      <c r="A585" s="24">
        <v>296</v>
      </c>
      <c r="B585" s="24" t="s">
        <v>8865</v>
      </c>
      <c r="C585" s="25" t="s">
        <v>8867</v>
      </c>
      <c r="D585" s="25" t="s">
        <v>8867</v>
      </c>
      <c r="E585" s="23">
        <v>3</v>
      </c>
    </row>
    <row r="586" spans="1:5" x14ac:dyDescent="0.25">
      <c r="A586" s="24">
        <v>297</v>
      </c>
      <c r="B586" s="24" t="s">
        <v>8865</v>
      </c>
      <c r="C586" s="23" t="s">
        <v>8868</v>
      </c>
      <c r="D586" s="23" t="s">
        <v>8868</v>
      </c>
      <c r="E586" s="23">
        <v>3</v>
      </c>
    </row>
    <row r="587" spans="1:5" x14ac:dyDescent="0.25">
      <c r="A587" s="24">
        <v>298</v>
      </c>
      <c r="B587" s="24" t="s">
        <v>8865</v>
      </c>
      <c r="C587" s="23" t="s">
        <v>8869</v>
      </c>
      <c r="D587" s="23" t="s">
        <v>8869</v>
      </c>
      <c r="E587" s="23">
        <v>3</v>
      </c>
    </row>
    <row r="588" spans="1:5" x14ac:dyDescent="0.25">
      <c r="A588" s="24">
        <v>299</v>
      </c>
      <c r="B588" s="24" t="s">
        <v>8865</v>
      </c>
      <c r="C588" s="23" t="s">
        <v>8871</v>
      </c>
      <c r="D588" s="23" t="s">
        <v>8871</v>
      </c>
      <c r="E588" s="23">
        <v>3</v>
      </c>
    </row>
    <row r="589" spans="1:5" x14ac:dyDescent="0.25">
      <c r="A589" s="24">
        <v>632</v>
      </c>
      <c r="B589" s="24" t="s">
        <v>8873</v>
      </c>
      <c r="C589" s="24" t="s">
        <v>8874</v>
      </c>
      <c r="D589" s="25" t="s">
        <v>8875</v>
      </c>
      <c r="E589" s="23">
        <v>3</v>
      </c>
    </row>
    <row r="590" spans="1:5" x14ac:dyDescent="0.25">
      <c r="A590" s="24">
        <v>632</v>
      </c>
      <c r="B590" s="24" t="s">
        <v>8873</v>
      </c>
      <c r="C590" s="24" t="s">
        <v>8874</v>
      </c>
      <c r="D590" s="23" t="s">
        <v>8876</v>
      </c>
      <c r="E590" s="23">
        <v>3</v>
      </c>
    </row>
    <row r="591" spans="1:5" x14ac:dyDescent="0.25">
      <c r="A591" s="24">
        <v>632</v>
      </c>
      <c r="B591" s="24" t="s">
        <v>8873</v>
      </c>
      <c r="C591" s="24" t="s">
        <v>8874</v>
      </c>
      <c r="D591" s="23" t="s">
        <v>8877</v>
      </c>
      <c r="E591" s="23">
        <v>3</v>
      </c>
    </row>
    <row r="592" spans="1:5" x14ac:dyDescent="0.25">
      <c r="A592" s="24">
        <v>632</v>
      </c>
      <c r="B592" s="24" t="s">
        <v>8873</v>
      </c>
      <c r="C592" s="24" t="s">
        <v>8874</v>
      </c>
      <c r="D592" s="23" t="s">
        <v>8879</v>
      </c>
      <c r="E592" s="23">
        <v>3</v>
      </c>
    </row>
    <row r="593" spans="1:5" x14ac:dyDescent="0.25">
      <c r="A593" s="24">
        <v>632</v>
      </c>
      <c r="B593" s="24" t="s">
        <v>8873</v>
      </c>
      <c r="C593" s="24" t="s">
        <v>8874</v>
      </c>
      <c r="D593" s="23" t="s">
        <v>8880</v>
      </c>
      <c r="E593" s="23">
        <v>3</v>
      </c>
    </row>
    <row r="594" spans="1:5" x14ac:dyDescent="0.25">
      <c r="A594" s="24">
        <v>632</v>
      </c>
      <c r="B594" s="24" t="s">
        <v>8873</v>
      </c>
      <c r="C594" s="24" t="s">
        <v>8874</v>
      </c>
      <c r="D594" s="23" t="s">
        <v>8881</v>
      </c>
      <c r="E594" s="23">
        <v>3</v>
      </c>
    </row>
    <row r="595" spans="1:5" x14ac:dyDescent="0.25">
      <c r="A595" s="24">
        <v>632</v>
      </c>
      <c r="B595" s="24" t="s">
        <v>8873</v>
      </c>
      <c r="C595" s="24" t="s">
        <v>8874</v>
      </c>
      <c r="D595" s="23" t="s">
        <v>9213</v>
      </c>
      <c r="E595" s="23">
        <v>3</v>
      </c>
    </row>
    <row r="596" spans="1:5" x14ac:dyDescent="0.25">
      <c r="A596" s="24">
        <v>300</v>
      </c>
      <c r="B596" s="24" t="s">
        <v>8873</v>
      </c>
      <c r="C596" s="25" t="s">
        <v>8875</v>
      </c>
      <c r="D596" s="25" t="s">
        <v>8875</v>
      </c>
      <c r="E596" s="23">
        <v>3</v>
      </c>
    </row>
    <row r="597" spans="1:5" x14ac:dyDescent="0.25">
      <c r="A597" s="24">
        <v>301</v>
      </c>
      <c r="B597" s="24" t="s">
        <v>8873</v>
      </c>
      <c r="C597" s="23" t="s">
        <v>8876</v>
      </c>
      <c r="D597" s="23" t="s">
        <v>8876</v>
      </c>
      <c r="E597" s="23">
        <v>3</v>
      </c>
    </row>
    <row r="598" spans="1:5" x14ac:dyDescent="0.25">
      <c r="A598" s="24">
        <v>302</v>
      </c>
      <c r="B598" s="24" t="s">
        <v>8873</v>
      </c>
      <c r="C598" s="23" t="s">
        <v>8877</v>
      </c>
      <c r="D598" s="23" t="s">
        <v>8877</v>
      </c>
      <c r="E598" s="23">
        <v>3</v>
      </c>
    </row>
    <row r="599" spans="1:5" x14ac:dyDescent="0.25">
      <c r="A599" s="24">
        <v>303</v>
      </c>
      <c r="B599" s="24" t="s">
        <v>8873</v>
      </c>
      <c r="C599" s="23" t="s">
        <v>8879</v>
      </c>
      <c r="D599" s="23" t="s">
        <v>8879</v>
      </c>
      <c r="E599" s="23">
        <v>3</v>
      </c>
    </row>
    <row r="600" spans="1:5" x14ac:dyDescent="0.25">
      <c r="A600" s="24">
        <v>304</v>
      </c>
      <c r="B600" s="24" t="s">
        <v>8873</v>
      </c>
      <c r="C600" s="23" t="s">
        <v>8880</v>
      </c>
      <c r="D600" s="23" t="s">
        <v>8880</v>
      </c>
      <c r="E600" s="23">
        <v>3</v>
      </c>
    </row>
    <row r="601" spans="1:5" x14ac:dyDescent="0.25">
      <c r="A601" s="24">
        <v>305</v>
      </c>
      <c r="B601" s="24" t="s">
        <v>8873</v>
      </c>
      <c r="C601" s="23" t="s">
        <v>8881</v>
      </c>
      <c r="D601" s="23" t="s">
        <v>8881</v>
      </c>
      <c r="E601" s="23">
        <v>3</v>
      </c>
    </row>
    <row r="602" spans="1:5" x14ac:dyDescent="0.25">
      <c r="A602" s="24">
        <v>306</v>
      </c>
      <c r="B602" s="24" t="s">
        <v>8873</v>
      </c>
      <c r="C602" s="23" t="s">
        <v>9213</v>
      </c>
      <c r="D602" s="23" t="s">
        <v>9213</v>
      </c>
      <c r="E602" s="23">
        <v>3</v>
      </c>
    </row>
    <row r="603" spans="1:5" x14ac:dyDescent="0.25">
      <c r="A603" s="24">
        <v>633</v>
      </c>
      <c r="B603" s="24" t="s">
        <v>8883</v>
      </c>
      <c r="C603" s="24" t="s">
        <v>8884</v>
      </c>
      <c r="D603" s="25" t="s">
        <v>8885</v>
      </c>
      <c r="E603" s="23">
        <v>3</v>
      </c>
    </row>
    <row r="604" spans="1:5" x14ac:dyDescent="0.25">
      <c r="A604" s="24">
        <v>633</v>
      </c>
      <c r="B604" s="24" t="s">
        <v>8883</v>
      </c>
      <c r="C604" s="24" t="s">
        <v>8884</v>
      </c>
      <c r="D604" s="23" t="s">
        <v>8886</v>
      </c>
      <c r="E604" s="23">
        <v>3</v>
      </c>
    </row>
    <row r="605" spans="1:5" x14ac:dyDescent="0.25">
      <c r="A605" s="24">
        <v>633</v>
      </c>
      <c r="B605" s="24" t="s">
        <v>8883</v>
      </c>
      <c r="C605" s="24" t="s">
        <v>8884</v>
      </c>
      <c r="D605" s="23" t="s">
        <v>8887</v>
      </c>
      <c r="E605" s="23">
        <v>3</v>
      </c>
    </row>
    <row r="606" spans="1:5" x14ac:dyDescent="0.25">
      <c r="A606" s="24">
        <v>307</v>
      </c>
      <c r="B606" s="24" t="s">
        <v>8883</v>
      </c>
      <c r="C606" s="25" t="s">
        <v>8885</v>
      </c>
      <c r="D606" s="25" t="s">
        <v>8885</v>
      </c>
      <c r="E606" s="23">
        <v>3</v>
      </c>
    </row>
    <row r="607" spans="1:5" x14ac:dyDescent="0.25">
      <c r="A607" s="24">
        <v>308</v>
      </c>
      <c r="B607" s="24" t="s">
        <v>8883</v>
      </c>
      <c r="C607" s="23" t="s">
        <v>8886</v>
      </c>
      <c r="D607" s="23" t="s">
        <v>8886</v>
      </c>
      <c r="E607" s="23">
        <v>3</v>
      </c>
    </row>
    <row r="608" spans="1:5" x14ac:dyDescent="0.25">
      <c r="A608" s="24">
        <v>309</v>
      </c>
      <c r="B608" s="24" t="s">
        <v>8883</v>
      </c>
      <c r="C608" s="23" t="s">
        <v>8887</v>
      </c>
      <c r="D608" s="23" t="s">
        <v>8887</v>
      </c>
      <c r="E608" s="23">
        <v>3</v>
      </c>
    </row>
    <row r="609" spans="1:5" x14ac:dyDescent="0.25">
      <c r="A609" s="24">
        <v>634</v>
      </c>
      <c r="B609" s="24" t="s">
        <v>8888</v>
      </c>
      <c r="C609" s="24" t="s">
        <v>8889</v>
      </c>
      <c r="D609" s="25" t="s">
        <v>8890</v>
      </c>
      <c r="E609" s="23">
        <v>3</v>
      </c>
    </row>
    <row r="610" spans="1:5" x14ac:dyDescent="0.25">
      <c r="A610" s="24">
        <v>634</v>
      </c>
      <c r="B610" s="24" t="s">
        <v>8888</v>
      </c>
      <c r="C610" s="24" t="s">
        <v>8889</v>
      </c>
      <c r="D610" s="23" t="s">
        <v>8891</v>
      </c>
      <c r="E610" s="23">
        <v>3</v>
      </c>
    </row>
    <row r="611" spans="1:5" x14ac:dyDescent="0.25">
      <c r="A611" s="24">
        <v>634</v>
      </c>
      <c r="B611" s="24" t="s">
        <v>8888</v>
      </c>
      <c r="C611" s="24" t="s">
        <v>8889</v>
      </c>
      <c r="D611" s="23" t="s">
        <v>8892</v>
      </c>
      <c r="E611" s="23">
        <v>3</v>
      </c>
    </row>
    <row r="612" spans="1:5" x14ac:dyDescent="0.25">
      <c r="A612" s="24">
        <v>634</v>
      </c>
      <c r="B612" s="24" t="s">
        <v>8888</v>
      </c>
      <c r="C612" s="24" t="s">
        <v>8889</v>
      </c>
      <c r="D612" s="23" t="s">
        <v>8893</v>
      </c>
      <c r="E612" s="23">
        <v>3</v>
      </c>
    </row>
    <row r="613" spans="1:5" x14ac:dyDescent="0.25">
      <c r="A613" s="24">
        <v>634</v>
      </c>
      <c r="B613" s="24" t="s">
        <v>8888</v>
      </c>
      <c r="C613" s="24" t="s">
        <v>8889</v>
      </c>
      <c r="D613" s="23" t="s">
        <v>8894</v>
      </c>
      <c r="E613" s="23">
        <v>3</v>
      </c>
    </row>
    <row r="614" spans="1:5" x14ac:dyDescent="0.25">
      <c r="A614" s="24">
        <v>634</v>
      </c>
      <c r="B614" s="24" t="s">
        <v>8888</v>
      </c>
      <c r="C614" s="24" t="s">
        <v>8889</v>
      </c>
      <c r="D614" s="23" t="s">
        <v>9214</v>
      </c>
      <c r="E614" s="23">
        <v>3</v>
      </c>
    </row>
    <row r="615" spans="1:5" x14ac:dyDescent="0.25">
      <c r="A615" s="24">
        <v>634</v>
      </c>
      <c r="B615" s="24" t="s">
        <v>8888</v>
      </c>
      <c r="C615" s="24" t="s">
        <v>8889</v>
      </c>
      <c r="D615" s="23" t="s">
        <v>9215</v>
      </c>
      <c r="E615" s="23">
        <v>3</v>
      </c>
    </row>
    <row r="616" spans="1:5" x14ac:dyDescent="0.25">
      <c r="A616" s="24">
        <v>310</v>
      </c>
      <c r="B616" s="24" t="s">
        <v>8888</v>
      </c>
      <c r="C616" s="25" t="s">
        <v>8890</v>
      </c>
      <c r="D616" s="25" t="s">
        <v>8890</v>
      </c>
      <c r="E616" s="23">
        <v>3</v>
      </c>
    </row>
    <row r="617" spans="1:5" x14ac:dyDescent="0.25">
      <c r="A617" s="24">
        <v>311</v>
      </c>
      <c r="B617" s="24" t="s">
        <v>8888</v>
      </c>
      <c r="C617" s="23" t="s">
        <v>8891</v>
      </c>
      <c r="D617" s="23" t="s">
        <v>8891</v>
      </c>
      <c r="E617" s="23">
        <v>3</v>
      </c>
    </row>
    <row r="618" spans="1:5" x14ac:dyDescent="0.25">
      <c r="A618" s="24">
        <v>312</v>
      </c>
      <c r="B618" s="24" t="s">
        <v>8888</v>
      </c>
      <c r="C618" s="23" t="s">
        <v>8892</v>
      </c>
      <c r="D618" s="23" t="s">
        <v>8892</v>
      </c>
      <c r="E618" s="23">
        <v>3</v>
      </c>
    </row>
    <row r="619" spans="1:5" x14ac:dyDescent="0.25">
      <c r="A619" s="24">
        <v>313</v>
      </c>
      <c r="B619" s="24" t="s">
        <v>8888</v>
      </c>
      <c r="C619" s="23" t="s">
        <v>8893</v>
      </c>
      <c r="D619" s="23" t="s">
        <v>8893</v>
      </c>
      <c r="E619" s="23">
        <v>3</v>
      </c>
    </row>
    <row r="620" spans="1:5" x14ac:dyDescent="0.25">
      <c r="A620" s="24">
        <v>314</v>
      </c>
      <c r="B620" s="24" t="s">
        <v>8888</v>
      </c>
      <c r="C620" s="23" t="s">
        <v>8894</v>
      </c>
      <c r="D620" s="23" t="s">
        <v>8894</v>
      </c>
      <c r="E620" s="23">
        <v>3</v>
      </c>
    </row>
    <row r="621" spans="1:5" x14ac:dyDescent="0.25">
      <c r="A621" s="24">
        <v>315</v>
      </c>
      <c r="B621" s="24" t="s">
        <v>8888</v>
      </c>
      <c r="C621" s="23" t="s">
        <v>9214</v>
      </c>
      <c r="D621" s="23" t="s">
        <v>9214</v>
      </c>
      <c r="E621" s="23">
        <v>3</v>
      </c>
    </row>
    <row r="622" spans="1:5" x14ac:dyDescent="0.25">
      <c r="A622" s="24">
        <v>316</v>
      </c>
      <c r="B622" s="24" t="s">
        <v>8888</v>
      </c>
      <c r="C622" s="23" t="s">
        <v>9215</v>
      </c>
      <c r="D622" s="23" t="s">
        <v>9215</v>
      </c>
      <c r="E622" s="23">
        <v>3</v>
      </c>
    </row>
    <row r="623" spans="1:5" x14ac:dyDescent="0.25">
      <c r="A623" s="24">
        <v>317</v>
      </c>
      <c r="B623" s="24" t="s">
        <v>8895</v>
      </c>
      <c r="C623" s="24" t="s">
        <v>8896</v>
      </c>
      <c r="D623" s="25" t="s">
        <v>8897</v>
      </c>
      <c r="E623" s="23">
        <v>3</v>
      </c>
    </row>
    <row r="624" spans="1:5" x14ac:dyDescent="0.25">
      <c r="A624" s="24">
        <v>635</v>
      </c>
      <c r="B624" s="24" t="s">
        <v>8900</v>
      </c>
      <c r="C624" s="24" t="s">
        <v>8901</v>
      </c>
      <c r="D624" s="25" t="s">
        <v>8902</v>
      </c>
      <c r="E624" s="23">
        <v>3</v>
      </c>
    </row>
    <row r="625" spans="1:5" x14ac:dyDescent="0.25">
      <c r="A625" s="24">
        <v>635</v>
      </c>
      <c r="B625" s="24" t="s">
        <v>8900</v>
      </c>
      <c r="C625" s="24" t="s">
        <v>8901</v>
      </c>
      <c r="D625" s="23" t="s">
        <v>8903</v>
      </c>
      <c r="E625" s="23">
        <v>3</v>
      </c>
    </row>
    <row r="626" spans="1:5" x14ac:dyDescent="0.25">
      <c r="A626" s="24">
        <v>635</v>
      </c>
      <c r="B626" s="24" t="s">
        <v>8900</v>
      </c>
      <c r="C626" s="24" t="s">
        <v>8901</v>
      </c>
      <c r="D626" s="23" t="s">
        <v>8905</v>
      </c>
      <c r="E626" s="23">
        <v>3</v>
      </c>
    </row>
    <row r="627" spans="1:5" x14ac:dyDescent="0.25">
      <c r="A627" s="24">
        <v>635</v>
      </c>
      <c r="B627" s="24" t="s">
        <v>8900</v>
      </c>
      <c r="C627" s="24" t="s">
        <v>8901</v>
      </c>
      <c r="D627" s="23" t="s">
        <v>8906</v>
      </c>
      <c r="E627" s="23">
        <v>3</v>
      </c>
    </row>
    <row r="628" spans="1:5" x14ac:dyDescent="0.25">
      <c r="A628" s="24">
        <v>635</v>
      </c>
      <c r="B628" s="24" t="s">
        <v>8900</v>
      </c>
      <c r="C628" s="24" t="s">
        <v>8901</v>
      </c>
      <c r="D628" s="23" t="s">
        <v>8907</v>
      </c>
      <c r="E628" s="23">
        <v>3</v>
      </c>
    </row>
    <row r="629" spans="1:5" x14ac:dyDescent="0.25">
      <c r="A629" s="24">
        <v>635</v>
      </c>
      <c r="B629" s="24" t="s">
        <v>8900</v>
      </c>
      <c r="C629" s="24" t="s">
        <v>8901</v>
      </c>
      <c r="D629" s="23" t="s">
        <v>8908</v>
      </c>
      <c r="E629" s="23">
        <v>3</v>
      </c>
    </row>
    <row r="630" spans="1:5" x14ac:dyDescent="0.25">
      <c r="A630" s="24">
        <v>635</v>
      </c>
      <c r="B630" s="24" t="s">
        <v>8900</v>
      </c>
      <c r="C630" s="24" t="s">
        <v>8901</v>
      </c>
      <c r="D630" s="23" t="s">
        <v>8910</v>
      </c>
      <c r="E630" s="23">
        <v>3</v>
      </c>
    </row>
    <row r="631" spans="1:5" x14ac:dyDescent="0.25">
      <c r="A631" s="24">
        <v>318</v>
      </c>
      <c r="B631" s="24" t="s">
        <v>8900</v>
      </c>
      <c r="C631" s="25" t="s">
        <v>8902</v>
      </c>
      <c r="D631" s="25" t="s">
        <v>8902</v>
      </c>
      <c r="E631" s="23">
        <v>3</v>
      </c>
    </row>
    <row r="632" spans="1:5" x14ac:dyDescent="0.25">
      <c r="A632" s="24">
        <v>319</v>
      </c>
      <c r="B632" s="24" t="s">
        <v>8900</v>
      </c>
      <c r="C632" s="23" t="s">
        <v>8903</v>
      </c>
      <c r="D632" s="23" t="s">
        <v>8903</v>
      </c>
      <c r="E632" s="23">
        <v>3</v>
      </c>
    </row>
    <row r="633" spans="1:5" x14ac:dyDescent="0.25">
      <c r="A633" s="24">
        <v>320</v>
      </c>
      <c r="B633" s="24" t="s">
        <v>8900</v>
      </c>
      <c r="C633" s="23" t="s">
        <v>8905</v>
      </c>
      <c r="D633" s="23" t="s">
        <v>8905</v>
      </c>
      <c r="E633" s="23">
        <v>3</v>
      </c>
    </row>
    <row r="634" spans="1:5" x14ac:dyDescent="0.25">
      <c r="A634" s="24">
        <v>321</v>
      </c>
      <c r="B634" s="24" t="s">
        <v>8900</v>
      </c>
      <c r="C634" s="23" t="s">
        <v>8906</v>
      </c>
      <c r="D634" s="23" t="s">
        <v>8906</v>
      </c>
      <c r="E634" s="23">
        <v>3</v>
      </c>
    </row>
    <row r="635" spans="1:5" x14ac:dyDescent="0.25">
      <c r="A635" s="24">
        <v>322</v>
      </c>
      <c r="B635" s="24" t="s">
        <v>8900</v>
      </c>
      <c r="C635" s="23" t="s">
        <v>8907</v>
      </c>
      <c r="D635" s="23" t="s">
        <v>8907</v>
      </c>
      <c r="E635" s="23">
        <v>3</v>
      </c>
    </row>
    <row r="636" spans="1:5" x14ac:dyDescent="0.25">
      <c r="A636" s="24">
        <v>323</v>
      </c>
      <c r="B636" s="24" t="s">
        <v>8900</v>
      </c>
      <c r="C636" s="23" t="s">
        <v>8908</v>
      </c>
      <c r="D636" s="23" t="s">
        <v>8908</v>
      </c>
      <c r="E636" s="23">
        <v>3</v>
      </c>
    </row>
    <row r="637" spans="1:5" x14ac:dyDescent="0.25">
      <c r="A637" s="24">
        <v>324</v>
      </c>
      <c r="B637" s="24" t="s">
        <v>8900</v>
      </c>
      <c r="C637" s="23" t="s">
        <v>8910</v>
      </c>
      <c r="D637" s="23" t="s">
        <v>8910</v>
      </c>
      <c r="E637" s="23">
        <v>3</v>
      </c>
    </row>
    <row r="638" spans="1:5" x14ac:dyDescent="0.25">
      <c r="A638" s="24">
        <v>636</v>
      </c>
      <c r="B638" s="24" t="s">
        <v>8912</v>
      </c>
      <c r="C638" s="24" t="s">
        <v>8913</v>
      </c>
      <c r="D638" s="25" t="s">
        <v>8914</v>
      </c>
      <c r="E638" s="23">
        <v>3</v>
      </c>
    </row>
    <row r="639" spans="1:5" x14ac:dyDescent="0.25">
      <c r="A639" s="24">
        <v>636</v>
      </c>
      <c r="B639" s="24" t="s">
        <v>8912</v>
      </c>
      <c r="C639" s="24" t="s">
        <v>8913</v>
      </c>
      <c r="D639" s="23" t="s">
        <v>8915</v>
      </c>
      <c r="E639" s="23">
        <v>3</v>
      </c>
    </row>
    <row r="640" spans="1:5" x14ac:dyDescent="0.25">
      <c r="A640" s="24">
        <v>636</v>
      </c>
      <c r="B640" s="24" t="s">
        <v>8912</v>
      </c>
      <c r="C640" s="24" t="s">
        <v>8913</v>
      </c>
      <c r="D640" s="23" t="s">
        <v>8916</v>
      </c>
      <c r="E640" s="23">
        <v>3</v>
      </c>
    </row>
    <row r="641" spans="1:5" x14ac:dyDescent="0.25">
      <c r="A641" s="24">
        <v>636</v>
      </c>
      <c r="B641" s="24" t="s">
        <v>8912</v>
      </c>
      <c r="C641" s="24" t="s">
        <v>8913</v>
      </c>
      <c r="D641" s="23" t="s">
        <v>9216</v>
      </c>
      <c r="E641" s="23">
        <v>3</v>
      </c>
    </row>
    <row r="642" spans="1:5" x14ac:dyDescent="0.25">
      <c r="A642" s="24">
        <v>636</v>
      </c>
      <c r="B642" s="24" t="s">
        <v>8912</v>
      </c>
      <c r="C642" s="24" t="s">
        <v>8913</v>
      </c>
      <c r="D642" s="23" t="s">
        <v>8917</v>
      </c>
      <c r="E642" s="23">
        <v>3</v>
      </c>
    </row>
    <row r="643" spans="1:5" x14ac:dyDescent="0.25">
      <c r="A643" s="24">
        <v>636</v>
      </c>
      <c r="B643" s="24" t="s">
        <v>8912</v>
      </c>
      <c r="C643" s="24" t="s">
        <v>8913</v>
      </c>
      <c r="D643" s="23" t="s">
        <v>9217</v>
      </c>
      <c r="E643" s="23">
        <v>3</v>
      </c>
    </row>
    <row r="644" spans="1:5" x14ac:dyDescent="0.25">
      <c r="A644" s="24">
        <v>636</v>
      </c>
      <c r="B644" s="24" t="s">
        <v>8912</v>
      </c>
      <c r="C644" s="24" t="s">
        <v>8913</v>
      </c>
      <c r="D644" s="23" t="s">
        <v>9218</v>
      </c>
      <c r="E644" s="23">
        <v>3</v>
      </c>
    </row>
    <row r="645" spans="1:5" x14ac:dyDescent="0.25">
      <c r="A645" s="24">
        <v>636</v>
      </c>
      <c r="B645" s="24" t="s">
        <v>8912</v>
      </c>
      <c r="C645" s="24" t="s">
        <v>8913</v>
      </c>
      <c r="D645" s="23" t="s">
        <v>9219</v>
      </c>
      <c r="E645" s="23">
        <v>3</v>
      </c>
    </row>
    <row r="646" spans="1:5" x14ac:dyDescent="0.25">
      <c r="A646" s="24">
        <v>636</v>
      </c>
      <c r="B646" s="24" t="s">
        <v>8912</v>
      </c>
      <c r="C646" s="24" t="s">
        <v>8913</v>
      </c>
      <c r="D646" s="23" t="s">
        <v>8918</v>
      </c>
      <c r="E646" s="23">
        <v>3</v>
      </c>
    </row>
    <row r="647" spans="1:5" x14ac:dyDescent="0.25">
      <c r="A647" s="24">
        <v>636</v>
      </c>
      <c r="B647" s="24" t="s">
        <v>8912</v>
      </c>
      <c r="C647" s="24" t="s">
        <v>8913</v>
      </c>
      <c r="D647" s="23" t="s">
        <v>9220</v>
      </c>
      <c r="E647" s="23">
        <v>3</v>
      </c>
    </row>
    <row r="648" spans="1:5" x14ac:dyDescent="0.25">
      <c r="A648" s="24">
        <v>636</v>
      </c>
      <c r="B648" s="24" t="s">
        <v>8912</v>
      </c>
      <c r="C648" s="24" t="s">
        <v>8913</v>
      </c>
      <c r="D648" s="23" t="s">
        <v>8919</v>
      </c>
      <c r="E648" s="23">
        <v>3</v>
      </c>
    </row>
    <row r="649" spans="1:5" x14ac:dyDescent="0.25">
      <c r="A649" s="24">
        <v>636</v>
      </c>
      <c r="B649" s="24" t="s">
        <v>8912</v>
      </c>
      <c r="C649" s="24" t="s">
        <v>8913</v>
      </c>
      <c r="D649" s="23" t="s">
        <v>8920</v>
      </c>
      <c r="E649" s="23">
        <v>3</v>
      </c>
    </row>
    <row r="650" spans="1:5" x14ac:dyDescent="0.25">
      <c r="A650" s="24">
        <v>636</v>
      </c>
      <c r="B650" s="24" t="s">
        <v>8912</v>
      </c>
      <c r="C650" s="24" t="s">
        <v>8913</v>
      </c>
      <c r="D650" s="23" t="s">
        <v>8921</v>
      </c>
      <c r="E650" s="23">
        <v>3</v>
      </c>
    </row>
    <row r="651" spans="1:5" x14ac:dyDescent="0.25">
      <c r="A651" s="24">
        <v>636</v>
      </c>
      <c r="B651" s="24" t="s">
        <v>8912</v>
      </c>
      <c r="C651" s="24" t="s">
        <v>8913</v>
      </c>
      <c r="D651" s="23" t="s">
        <v>9221</v>
      </c>
      <c r="E651" s="23">
        <v>3</v>
      </c>
    </row>
    <row r="652" spans="1:5" x14ac:dyDescent="0.25">
      <c r="A652" s="24">
        <v>636</v>
      </c>
      <c r="B652" s="24" t="s">
        <v>8912</v>
      </c>
      <c r="C652" s="24" t="s">
        <v>8913</v>
      </c>
      <c r="D652" s="23" t="s">
        <v>9222</v>
      </c>
      <c r="E652" s="23">
        <v>3</v>
      </c>
    </row>
    <row r="653" spans="1:5" x14ac:dyDescent="0.25">
      <c r="A653" s="24">
        <v>325</v>
      </c>
      <c r="B653" s="24" t="s">
        <v>8912</v>
      </c>
      <c r="C653" s="25" t="s">
        <v>8914</v>
      </c>
      <c r="D653" s="25" t="s">
        <v>8914</v>
      </c>
      <c r="E653" s="23">
        <v>3</v>
      </c>
    </row>
    <row r="654" spans="1:5" x14ac:dyDescent="0.25">
      <c r="A654" s="24">
        <v>326</v>
      </c>
      <c r="B654" s="24" t="s">
        <v>8912</v>
      </c>
      <c r="C654" s="23" t="s">
        <v>8915</v>
      </c>
      <c r="D654" s="23" t="s">
        <v>8915</v>
      </c>
      <c r="E654" s="23">
        <v>3</v>
      </c>
    </row>
    <row r="655" spans="1:5" x14ac:dyDescent="0.25">
      <c r="A655" s="24">
        <v>327</v>
      </c>
      <c r="B655" s="24" t="s">
        <v>8912</v>
      </c>
      <c r="C655" s="23" t="s">
        <v>8916</v>
      </c>
      <c r="D655" s="23" t="s">
        <v>8916</v>
      </c>
      <c r="E655" s="23">
        <v>3</v>
      </c>
    </row>
    <row r="656" spans="1:5" x14ac:dyDescent="0.25">
      <c r="A656" s="24">
        <v>328</v>
      </c>
      <c r="B656" s="24" t="s">
        <v>8912</v>
      </c>
      <c r="C656" s="23" t="s">
        <v>9216</v>
      </c>
      <c r="D656" s="23" t="s">
        <v>9216</v>
      </c>
      <c r="E656" s="23">
        <v>3</v>
      </c>
    </row>
    <row r="657" spans="1:5" x14ac:dyDescent="0.25">
      <c r="A657" s="24">
        <v>329</v>
      </c>
      <c r="B657" s="24" t="s">
        <v>8912</v>
      </c>
      <c r="C657" s="23" t="s">
        <v>8917</v>
      </c>
      <c r="D657" s="23" t="s">
        <v>8917</v>
      </c>
      <c r="E657" s="23">
        <v>3</v>
      </c>
    </row>
    <row r="658" spans="1:5" x14ac:dyDescent="0.25">
      <c r="A658" s="24">
        <v>330</v>
      </c>
      <c r="B658" s="24" t="s">
        <v>8912</v>
      </c>
      <c r="C658" s="23" t="s">
        <v>9217</v>
      </c>
      <c r="D658" s="23" t="s">
        <v>9217</v>
      </c>
      <c r="E658" s="23">
        <v>3</v>
      </c>
    </row>
    <row r="659" spans="1:5" x14ac:dyDescent="0.25">
      <c r="A659" s="24">
        <v>331</v>
      </c>
      <c r="B659" s="24" t="s">
        <v>8912</v>
      </c>
      <c r="C659" s="23" t="s">
        <v>9218</v>
      </c>
      <c r="D659" s="23" t="s">
        <v>9218</v>
      </c>
      <c r="E659" s="23">
        <v>3</v>
      </c>
    </row>
    <row r="660" spans="1:5" x14ac:dyDescent="0.25">
      <c r="A660" s="24">
        <v>332</v>
      </c>
      <c r="B660" s="24" t="s">
        <v>8912</v>
      </c>
      <c r="C660" s="23" t="s">
        <v>9219</v>
      </c>
      <c r="D660" s="23" t="s">
        <v>9219</v>
      </c>
      <c r="E660" s="23">
        <v>3</v>
      </c>
    </row>
    <row r="661" spans="1:5" x14ac:dyDescent="0.25">
      <c r="A661" s="24">
        <v>333</v>
      </c>
      <c r="B661" s="24" t="s">
        <v>8912</v>
      </c>
      <c r="C661" s="23" t="s">
        <v>8918</v>
      </c>
      <c r="D661" s="23" t="s">
        <v>8918</v>
      </c>
      <c r="E661" s="23">
        <v>3</v>
      </c>
    </row>
    <row r="662" spans="1:5" x14ac:dyDescent="0.25">
      <c r="A662" s="24">
        <v>334</v>
      </c>
      <c r="B662" s="24" t="s">
        <v>8912</v>
      </c>
      <c r="C662" s="23" t="s">
        <v>9220</v>
      </c>
      <c r="D662" s="23" t="s">
        <v>9220</v>
      </c>
      <c r="E662" s="23">
        <v>3</v>
      </c>
    </row>
    <row r="663" spans="1:5" x14ac:dyDescent="0.25">
      <c r="A663" s="24">
        <v>335</v>
      </c>
      <c r="B663" s="24" t="s">
        <v>8912</v>
      </c>
      <c r="C663" s="23" t="s">
        <v>8919</v>
      </c>
      <c r="D663" s="23" t="s">
        <v>8919</v>
      </c>
      <c r="E663" s="23">
        <v>3</v>
      </c>
    </row>
    <row r="664" spans="1:5" x14ac:dyDescent="0.25">
      <c r="A664" s="24">
        <v>336</v>
      </c>
      <c r="B664" s="24" t="s">
        <v>8912</v>
      </c>
      <c r="C664" s="23" t="s">
        <v>8920</v>
      </c>
      <c r="D664" s="23" t="s">
        <v>8920</v>
      </c>
      <c r="E664" s="23">
        <v>3</v>
      </c>
    </row>
    <row r="665" spans="1:5" x14ac:dyDescent="0.25">
      <c r="A665" s="24">
        <v>337</v>
      </c>
      <c r="B665" s="24" t="s">
        <v>8912</v>
      </c>
      <c r="C665" s="23" t="s">
        <v>8921</v>
      </c>
      <c r="D665" s="23" t="s">
        <v>8921</v>
      </c>
      <c r="E665" s="23">
        <v>3</v>
      </c>
    </row>
    <row r="666" spans="1:5" x14ac:dyDescent="0.25">
      <c r="A666" s="24">
        <v>338</v>
      </c>
      <c r="B666" s="24" t="s">
        <v>8912</v>
      </c>
      <c r="C666" s="23" t="s">
        <v>9221</v>
      </c>
      <c r="D666" s="23" t="s">
        <v>9221</v>
      </c>
      <c r="E666" s="23">
        <v>3</v>
      </c>
    </row>
    <row r="667" spans="1:5" x14ac:dyDescent="0.25">
      <c r="A667" s="24">
        <v>339</v>
      </c>
      <c r="B667" s="24" t="s">
        <v>8912</v>
      </c>
      <c r="C667" s="23" t="s">
        <v>9222</v>
      </c>
      <c r="D667" s="23" t="s">
        <v>9222</v>
      </c>
      <c r="E667" s="23">
        <v>3</v>
      </c>
    </row>
    <row r="668" spans="1:5" x14ac:dyDescent="0.25">
      <c r="A668" s="24">
        <v>637</v>
      </c>
      <c r="B668" s="24" t="s">
        <v>8922</v>
      </c>
      <c r="C668" s="24" t="s">
        <v>8923</v>
      </c>
      <c r="D668" s="25" t="s">
        <v>8924</v>
      </c>
      <c r="E668" s="23">
        <v>3</v>
      </c>
    </row>
    <row r="669" spans="1:5" x14ac:dyDescent="0.25">
      <c r="A669" s="24">
        <v>637</v>
      </c>
      <c r="B669" s="24" t="s">
        <v>8922</v>
      </c>
      <c r="C669" s="24" t="s">
        <v>8923</v>
      </c>
      <c r="D669" s="23" t="s">
        <v>8925</v>
      </c>
      <c r="E669" s="23">
        <v>3</v>
      </c>
    </row>
    <row r="670" spans="1:5" x14ac:dyDescent="0.25">
      <c r="A670" s="24">
        <v>637</v>
      </c>
      <c r="B670" s="24" t="s">
        <v>8922</v>
      </c>
      <c r="C670" s="24" t="s">
        <v>8923</v>
      </c>
      <c r="D670" s="23" t="s">
        <v>8926</v>
      </c>
      <c r="E670" s="23">
        <v>3</v>
      </c>
    </row>
    <row r="671" spans="1:5" x14ac:dyDescent="0.25">
      <c r="A671" s="24">
        <v>637</v>
      </c>
      <c r="B671" s="24" t="s">
        <v>8922</v>
      </c>
      <c r="C671" s="24" t="s">
        <v>8923</v>
      </c>
      <c r="D671" s="23" t="s">
        <v>8928</v>
      </c>
      <c r="E671" s="23">
        <v>3</v>
      </c>
    </row>
    <row r="672" spans="1:5" x14ac:dyDescent="0.25">
      <c r="A672" s="24">
        <v>637</v>
      </c>
      <c r="B672" s="24" t="s">
        <v>8922</v>
      </c>
      <c r="C672" s="24" t="s">
        <v>8923</v>
      </c>
      <c r="D672" s="23" t="s">
        <v>8929</v>
      </c>
      <c r="E672" s="23">
        <v>3</v>
      </c>
    </row>
    <row r="673" spans="1:5" x14ac:dyDescent="0.25">
      <c r="A673" s="24">
        <v>637</v>
      </c>
      <c r="B673" s="24" t="s">
        <v>8922</v>
      </c>
      <c r="C673" s="24" t="s">
        <v>8923</v>
      </c>
      <c r="D673" s="23" t="s">
        <v>8930</v>
      </c>
      <c r="E673" s="23">
        <v>3</v>
      </c>
    </row>
    <row r="674" spans="1:5" x14ac:dyDescent="0.25">
      <c r="A674" s="24">
        <v>637</v>
      </c>
      <c r="B674" s="24" t="s">
        <v>8922</v>
      </c>
      <c r="C674" s="24" t="s">
        <v>8923</v>
      </c>
      <c r="D674" s="23" t="s">
        <v>8931</v>
      </c>
      <c r="E674" s="23">
        <v>3</v>
      </c>
    </row>
    <row r="675" spans="1:5" x14ac:dyDescent="0.25">
      <c r="A675" s="24">
        <v>637</v>
      </c>
      <c r="B675" s="24" t="s">
        <v>8922</v>
      </c>
      <c r="C675" s="24" t="s">
        <v>8923</v>
      </c>
      <c r="D675" s="23" t="s">
        <v>8932</v>
      </c>
      <c r="E675" s="23">
        <v>3</v>
      </c>
    </row>
    <row r="676" spans="1:5" x14ac:dyDescent="0.25">
      <c r="A676" s="24">
        <v>637</v>
      </c>
      <c r="B676" s="24" t="s">
        <v>8922</v>
      </c>
      <c r="C676" s="24" t="s">
        <v>8923</v>
      </c>
      <c r="D676" s="23" t="s">
        <v>8933</v>
      </c>
      <c r="E676" s="23">
        <v>3</v>
      </c>
    </row>
    <row r="677" spans="1:5" x14ac:dyDescent="0.25">
      <c r="A677" s="24">
        <v>637</v>
      </c>
      <c r="B677" s="24" t="s">
        <v>8922</v>
      </c>
      <c r="C677" s="24" t="s">
        <v>8923</v>
      </c>
      <c r="D677" s="23" t="s">
        <v>8935</v>
      </c>
      <c r="E677" s="23">
        <v>3</v>
      </c>
    </row>
    <row r="678" spans="1:5" x14ac:dyDescent="0.25">
      <c r="A678" s="24">
        <v>637</v>
      </c>
      <c r="B678" s="24" t="s">
        <v>8922</v>
      </c>
      <c r="C678" s="24" t="s">
        <v>8923</v>
      </c>
      <c r="D678" s="23" t="s">
        <v>8936</v>
      </c>
      <c r="E678" s="23">
        <v>3</v>
      </c>
    </row>
    <row r="679" spans="1:5" x14ac:dyDescent="0.25">
      <c r="A679" s="24">
        <v>637</v>
      </c>
      <c r="B679" s="24" t="s">
        <v>8922</v>
      </c>
      <c r="C679" s="24" t="s">
        <v>8923</v>
      </c>
      <c r="D679" s="23" t="s">
        <v>8937</v>
      </c>
      <c r="E679" s="23">
        <v>3</v>
      </c>
    </row>
    <row r="680" spans="1:5" x14ac:dyDescent="0.25">
      <c r="A680" s="24">
        <v>637</v>
      </c>
      <c r="B680" s="24" t="s">
        <v>8922</v>
      </c>
      <c r="C680" s="24" t="s">
        <v>8923</v>
      </c>
      <c r="D680" s="23" t="s">
        <v>8938</v>
      </c>
      <c r="E680" s="23">
        <v>3</v>
      </c>
    </row>
    <row r="681" spans="1:5" x14ac:dyDescent="0.25">
      <c r="A681" s="24">
        <v>637</v>
      </c>
      <c r="B681" s="24" t="s">
        <v>8922</v>
      </c>
      <c r="C681" s="24" t="s">
        <v>8923</v>
      </c>
      <c r="D681" s="23" t="s">
        <v>8942</v>
      </c>
      <c r="E681" s="23">
        <v>3</v>
      </c>
    </row>
    <row r="682" spans="1:5" x14ac:dyDescent="0.25">
      <c r="A682" s="24">
        <v>637</v>
      </c>
      <c r="B682" s="24" t="s">
        <v>8922</v>
      </c>
      <c r="C682" s="24" t="s">
        <v>8923</v>
      </c>
      <c r="D682" s="23" t="s">
        <v>8943</v>
      </c>
      <c r="E682" s="23">
        <v>3</v>
      </c>
    </row>
    <row r="683" spans="1:5" x14ac:dyDescent="0.25">
      <c r="A683" s="24">
        <v>637</v>
      </c>
      <c r="B683" s="24" t="s">
        <v>8922</v>
      </c>
      <c r="C683" s="24" t="s">
        <v>8923</v>
      </c>
      <c r="D683" s="23" t="s">
        <v>8945</v>
      </c>
      <c r="E683" s="23">
        <v>3</v>
      </c>
    </row>
    <row r="684" spans="1:5" x14ac:dyDescent="0.25">
      <c r="A684" s="24">
        <v>637</v>
      </c>
      <c r="B684" s="24" t="s">
        <v>8922</v>
      </c>
      <c r="C684" s="24" t="s">
        <v>8923</v>
      </c>
      <c r="D684" s="23" t="s">
        <v>8946</v>
      </c>
      <c r="E684" s="23">
        <v>3</v>
      </c>
    </row>
    <row r="685" spans="1:5" x14ac:dyDescent="0.25">
      <c r="A685" s="24">
        <v>637</v>
      </c>
      <c r="B685" s="24" t="s">
        <v>8922</v>
      </c>
      <c r="C685" s="24" t="s">
        <v>8923</v>
      </c>
      <c r="D685" s="23" t="s">
        <v>8947</v>
      </c>
      <c r="E685" s="23">
        <v>3</v>
      </c>
    </row>
    <row r="686" spans="1:5" x14ac:dyDescent="0.25">
      <c r="A686" s="24">
        <v>637</v>
      </c>
      <c r="B686" s="24" t="s">
        <v>8922</v>
      </c>
      <c r="C686" s="24" t="s">
        <v>8923</v>
      </c>
      <c r="D686" s="23" t="s">
        <v>8948</v>
      </c>
      <c r="E686" s="23">
        <v>3</v>
      </c>
    </row>
    <row r="687" spans="1:5" x14ac:dyDescent="0.25">
      <c r="A687" s="24">
        <v>637</v>
      </c>
      <c r="B687" s="24" t="s">
        <v>8922</v>
      </c>
      <c r="C687" s="24" t="s">
        <v>8923</v>
      </c>
      <c r="D687" s="23" t="s">
        <v>8950</v>
      </c>
      <c r="E687" s="23">
        <v>3</v>
      </c>
    </row>
    <row r="688" spans="1:5" x14ac:dyDescent="0.25">
      <c r="A688" s="24">
        <v>637</v>
      </c>
      <c r="B688" s="24" t="s">
        <v>8922</v>
      </c>
      <c r="C688" s="24" t="s">
        <v>8923</v>
      </c>
      <c r="D688" s="23" t="s">
        <v>8952</v>
      </c>
      <c r="E688" s="23">
        <v>3</v>
      </c>
    </row>
    <row r="689" spans="1:5" x14ac:dyDescent="0.25">
      <c r="A689" s="24">
        <v>637</v>
      </c>
      <c r="B689" s="24" t="s">
        <v>8922</v>
      </c>
      <c r="C689" s="24" t="s">
        <v>8923</v>
      </c>
      <c r="D689" s="23" t="s">
        <v>8953</v>
      </c>
      <c r="E689" s="23">
        <v>3</v>
      </c>
    </row>
    <row r="690" spans="1:5" x14ac:dyDescent="0.25">
      <c r="A690" s="24">
        <v>340</v>
      </c>
      <c r="B690" s="24" t="s">
        <v>8922</v>
      </c>
      <c r="C690" s="25" t="s">
        <v>8924</v>
      </c>
      <c r="D690" s="25" t="s">
        <v>8924</v>
      </c>
      <c r="E690" s="23">
        <v>3</v>
      </c>
    </row>
    <row r="691" spans="1:5" x14ac:dyDescent="0.25">
      <c r="A691" s="24">
        <v>341</v>
      </c>
      <c r="B691" s="24" t="s">
        <v>8922</v>
      </c>
      <c r="C691" s="23" t="s">
        <v>8925</v>
      </c>
      <c r="D691" s="23" t="s">
        <v>8925</v>
      </c>
      <c r="E691" s="23">
        <v>3</v>
      </c>
    </row>
    <row r="692" spans="1:5" x14ac:dyDescent="0.25">
      <c r="A692" s="24">
        <v>342</v>
      </c>
      <c r="B692" s="24" t="s">
        <v>8922</v>
      </c>
      <c r="C692" s="23" t="s">
        <v>8926</v>
      </c>
      <c r="D692" s="23" t="s">
        <v>8926</v>
      </c>
      <c r="E692" s="23">
        <v>3</v>
      </c>
    </row>
    <row r="693" spans="1:5" x14ac:dyDescent="0.25">
      <c r="A693" s="24">
        <v>343</v>
      </c>
      <c r="B693" s="24" t="s">
        <v>8922</v>
      </c>
      <c r="C693" s="23" t="s">
        <v>8928</v>
      </c>
      <c r="D693" s="23" t="s">
        <v>8928</v>
      </c>
      <c r="E693" s="23">
        <v>3</v>
      </c>
    </row>
    <row r="694" spans="1:5" x14ac:dyDescent="0.25">
      <c r="A694" s="24">
        <v>344</v>
      </c>
      <c r="B694" s="24" t="s">
        <v>8922</v>
      </c>
      <c r="C694" s="23" t="s">
        <v>8929</v>
      </c>
      <c r="D694" s="23" t="s">
        <v>8929</v>
      </c>
      <c r="E694" s="23">
        <v>3</v>
      </c>
    </row>
    <row r="695" spans="1:5" x14ac:dyDescent="0.25">
      <c r="A695" s="24">
        <v>345</v>
      </c>
      <c r="B695" s="24" t="s">
        <v>8922</v>
      </c>
      <c r="C695" s="23" t="s">
        <v>8930</v>
      </c>
      <c r="D695" s="23" t="s">
        <v>8930</v>
      </c>
      <c r="E695" s="23">
        <v>3</v>
      </c>
    </row>
    <row r="696" spans="1:5" x14ac:dyDescent="0.25">
      <c r="A696" s="24">
        <v>346</v>
      </c>
      <c r="B696" s="24" t="s">
        <v>8922</v>
      </c>
      <c r="C696" s="23" t="s">
        <v>8931</v>
      </c>
      <c r="D696" s="23" t="s">
        <v>8931</v>
      </c>
      <c r="E696" s="23">
        <v>3</v>
      </c>
    </row>
    <row r="697" spans="1:5" x14ac:dyDescent="0.25">
      <c r="A697" s="24">
        <v>347</v>
      </c>
      <c r="B697" s="24" t="s">
        <v>8922</v>
      </c>
      <c r="C697" s="23" t="s">
        <v>8932</v>
      </c>
      <c r="D697" s="23" t="s">
        <v>8932</v>
      </c>
      <c r="E697" s="23">
        <v>3</v>
      </c>
    </row>
    <row r="698" spans="1:5" x14ac:dyDescent="0.25">
      <c r="A698" s="24">
        <v>348</v>
      </c>
      <c r="B698" s="24" t="s">
        <v>8922</v>
      </c>
      <c r="C698" s="23" t="s">
        <v>8933</v>
      </c>
      <c r="D698" s="23" t="s">
        <v>8933</v>
      </c>
      <c r="E698" s="23">
        <v>3</v>
      </c>
    </row>
    <row r="699" spans="1:5" x14ac:dyDescent="0.25">
      <c r="A699" s="24">
        <v>349</v>
      </c>
      <c r="B699" s="24" t="s">
        <v>8922</v>
      </c>
      <c r="C699" s="23" t="s">
        <v>8935</v>
      </c>
      <c r="D699" s="23" t="s">
        <v>8935</v>
      </c>
      <c r="E699" s="23">
        <v>3</v>
      </c>
    </row>
    <row r="700" spans="1:5" x14ac:dyDescent="0.25">
      <c r="A700" s="24">
        <v>350</v>
      </c>
      <c r="B700" s="24" t="s">
        <v>8922</v>
      </c>
      <c r="C700" s="23" t="s">
        <v>8936</v>
      </c>
      <c r="D700" s="23" t="s">
        <v>8936</v>
      </c>
      <c r="E700" s="23">
        <v>3</v>
      </c>
    </row>
    <row r="701" spans="1:5" x14ac:dyDescent="0.25">
      <c r="A701" s="24">
        <v>351</v>
      </c>
      <c r="B701" s="24" t="s">
        <v>8922</v>
      </c>
      <c r="C701" s="23" t="s">
        <v>8937</v>
      </c>
      <c r="D701" s="23" t="s">
        <v>8937</v>
      </c>
      <c r="E701" s="23">
        <v>3</v>
      </c>
    </row>
    <row r="702" spans="1:5" x14ac:dyDescent="0.25">
      <c r="A702" s="24">
        <v>352</v>
      </c>
      <c r="B702" s="24" t="s">
        <v>8922</v>
      </c>
      <c r="C702" s="23" t="s">
        <v>8938</v>
      </c>
      <c r="D702" s="23" t="s">
        <v>8938</v>
      </c>
      <c r="E702" s="23">
        <v>3</v>
      </c>
    </row>
    <row r="703" spans="1:5" x14ac:dyDescent="0.25">
      <c r="A703" s="24">
        <v>353</v>
      </c>
      <c r="B703" s="24" t="s">
        <v>8922</v>
      </c>
      <c r="C703" s="23" t="s">
        <v>8942</v>
      </c>
      <c r="D703" s="23" t="s">
        <v>8942</v>
      </c>
      <c r="E703" s="23">
        <v>3</v>
      </c>
    </row>
    <row r="704" spans="1:5" x14ac:dyDescent="0.25">
      <c r="A704" s="24">
        <v>354</v>
      </c>
      <c r="B704" s="24" t="s">
        <v>8922</v>
      </c>
      <c r="C704" s="23" t="s">
        <v>8943</v>
      </c>
      <c r="D704" s="23" t="s">
        <v>8943</v>
      </c>
      <c r="E704" s="23">
        <v>3</v>
      </c>
    </row>
    <row r="705" spans="1:5" x14ac:dyDescent="0.25">
      <c r="A705" s="24">
        <v>355</v>
      </c>
      <c r="B705" s="24" t="s">
        <v>8922</v>
      </c>
      <c r="C705" s="23" t="s">
        <v>8945</v>
      </c>
      <c r="D705" s="23" t="s">
        <v>8945</v>
      </c>
      <c r="E705" s="23">
        <v>3</v>
      </c>
    </row>
    <row r="706" spans="1:5" x14ac:dyDescent="0.25">
      <c r="A706" s="24">
        <v>356</v>
      </c>
      <c r="B706" s="24" t="s">
        <v>8922</v>
      </c>
      <c r="C706" s="23" t="s">
        <v>8946</v>
      </c>
      <c r="D706" s="23" t="s">
        <v>8946</v>
      </c>
      <c r="E706" s="23">
        <v>3</v>
      </c>
    </row>
    <row r="707" spans="1:5" x14ac:dyDescent="0.25">
      <c r="A707" s="24">
        <v>357</v>
      </c>
      <c r="B707" s="24" t="s">
        <v>8922</v>
      </c>
      <c r="C707" s="23" t="s">
        <v>8947</v>
      </c>
      <c r="D707" s="23" t="s">
        <v>8947</v>
      </c>
      <c r="E707" s="23">
        <v>3</v>
      </c>
    </row>
    <row r="708" spans="1:5" x14ac:dyDescent="0.25">
      <c r="A708" s="24">
        <v>358</v>
      </c>
      <c r="B708" s="24" t="s">
        <v>8922</v>
      </c>
      <c r="C708" s="23" t="s">
        <v>8948</v>
      </c>
      <c r="D708" s="23" t="s">
        <v>8948</v>
      </c>
      <c r="E708" s="23">
        <v>3</v>
      </c>
    </row>
    <row r="709" spans="1:5" x14ac:dyDescent="0.25">
      <c r="A709" s="24">
        <v>359</v>
      </c>
      <c r="B709" s="24" t="s">
        <v>8922</v>
      </c>
      <c r="C709" s="23" t="s">
        <v>8950</v>
      </c>
      <c r="D709" s="23" t="s">
        <v>8950</v>
      </c>
      <c r="E709" s="23">
        <v>3</v>
      </c>
    </row>
    <row r="710" spans="1:5" x14ac:dyDescent="0.25">
      <c r="A710" s="24">
        <v>360</v>
      </c>
      <c r="B710" s="24" t="s">
        <v>8922</v>
      </c>
      <c r="C710" s="23" t="s">
        <v>8952</v>
      </c>
      <c r="D710" s="23" t="s">
        <v>8952</v>
      </c>
      <c r="E710" s="23">
        <v>3</v>
      </c>
    </row>
    <row r="711" spans="1:5" x14ac:dyDescent="0.25">
      <c r="A711" s="24">
        <v>361</v>
      </c>
      <c r="B711" s="24" t="s">
        <v>8922</v>
      </c>
      <c r="C711" s="23" t="s">
        <v>8953</v>
      </c>
      <c r="D711" s="23" t="s">
        <v>8953</v>
      </c>
      <c r="E711" s="23">
        <v>3</v>
      </c>
    </row>
    <row r="712" spans="1:5" x14ac:dyDescent="0.25">
      <c r="A712" s="24">
        <v>638</v>
      </c>
      <c r="B712" s="24" t="s">
        <v>8954</v>
      </c>
      <c r="C712" s="24" t="s">
        <v>8955</v>
      </c>
      <c r="D712" s="25" t="s">
        <v>8956</v>
      </c>
      <c r="E712" s="23">
        <v>3</v>
      </c>
    </row>
    <row r="713" spans="1:5" x14ac:dyDescent="0.25">
      <c r="A713" s="24">
        <v>638</v>
      </c>
      <c r="B713" s="24" t="s">
        <v>8954</v>
      </c>
      <c r="C713" s="24" t="s">
        <v>8955</v>
      </c>
      <c r="D713" s="23" t="s">
        <v>8957</v>
      </c>
      <c r="E713" s="23">
        <v>3</v>
      </c>
    </row>
    <row r="714" spans="1:5" x14ac:dyDescent="0.25">
      <c r="A714" s="24">
        <v>638</v>
      </c>
      <c r="B714" s="24" t="s">
        <v>8954</v>
      </c>
      <c r="C714" s="24" t="s">
        <v>8955</v>
      </c>
      <c r="D714" s="23" t="s">
        <v>8959</v>
      </c>
      <c r="E714" s="23">
        <v>3</v>
      </c>
    </row>
    <row r="715" spans="1:5" x14ac:dyDescent="0.25">
      <c r="A715" s="24">
        <v>638</v>
      </c>
      <c r="B715" s="24" t="s">
        <v>8954</v>
      </c>
      <c r="C715" s="24" t="s">
        <v>8955</v>
      </c>
      <c r="D715" s="23" t="s">
        <v>8960</v>
      </c>
      <c r="E715" s="23">
        <v>3</v>
      </c>
    </row>
    <row r="716" spans="1:5" x14ac:dyDescent="0.25">
      <c r="A716" s="24">
        <v>638</v>
      </c>
      <c r="B716" s="24" t="s">
        <v>8954</v>
      </c>
      <c r="C716" s="24" t="s">
        <v>8955</v>
      </c>
      <c r="D716" s="23" t="s">
        <v>8962</v>
      </c>
      <c r="E716" s="23">
        <v>3</v>
      </c>
    </row>
    <row r="717" spans="1:5" x14ac:dyDescent="0.25">
      <c r="A717" s="24">
        <v>638</v>
      </c>
      <c r="B717" s="24" t="s">
        <v>8954</v>
      </c>
      <c r="C717" s="24" t="s">
        <v>8955</v>
      </c>
      <c r="D717" s="23" t="s">
        <v>8963</v>
      </c>
      <c r="E717" s="23">
        <v>3</v>
      </c>
    </row>
    <row r="718" spans="1:5" x14ac:dyDescent="0.25">
      <c r="A718" s="24">
        <v>638</v>
      </c>
      <c r="B718" s="24" t="s">
        <v>8954</v>
      </c>
      <c r="C718" s="24" t="s">
        <v>8955</v>
      </c>
      <c r="D718" s="23" t="s">
        <v>8968</v>
      </c>
      <c r="E718" s="23">
        <v>3</v>
      </c>
    </row>
    <row r="719" spans="1:5" x14ac:dyDescent="0.25">
      <c r="A719" s="24">
        <v>362</v>
      </c>
      <c r="B719" s="24" t="s">
        <v>8954</v>
      </c>
      <c r="C719" s="25" t="s">
        <v>8956</v>
      </c>
      <c r="D719" s="25" t="s">
        <v>8956</v>
      </c>
      <c r="E719" s="23">
        <v>3</v>
      </c>
    </row>
    <row r="720" spans="1:5" x14ac:dyDescent="0.25">
      <c r="A720" s="24">
        <v>363</v>
      </c>
      <c r="B720" s="24" t="s">
        <v>8954</v>
      </c>
      <c r="C720" s="23" t="s">
        <v>8957</v>
      </c>
      <c r="D720" s="23" t="s">
        <v>8957</v>
      </c>
      <c r="E720" s="23">
        <v>3</v>
      </c>
    </row>
    <row r="721" spans="1:5" x14ac:dyDescent="0.25">
      <c r="A721" s="24">
        <v>364</v>
      </c>
      <c r="B721" s="24" t="s">
        <v>8954</v>
      </c>
      <c r="C721" s="23" t="s">
        <v>8959</v>
      </c>
      <c r="D721" s="23" t="s">
        <v>8959</v>
      </c>
      <c r="E721" s="23">
        <v>3</v>
      </c>
    </row>
    <row r="722" spans="1:5" x14ac:dyDescent="0.25">
      <c r="A722" s="24">
        <v>365</v>
      </c>
      <c r="B722" s="24" t="s">
        <v>8954</v>
      </c>
      <c r="C722" s="23" t="s">
        <v>8960</v>
      </c>
      <c r="D722" s="23" t="s">
        <v>8960</v>
      </c>
      <c r="E722" s="23">
        <v>3</v>
      </c>
    </row>
    <row r="723" spans="1:5" x14ac:dyDescent="0.25">
      <c r="A723" s="24">
        <v>366</v>
      </c>
      <c r="B723" s="24" t="s">
        <v>8954</v>
      </c>
      <c r="C723" s="23" t="s">
        <v>8962</v>
      </c>
      <c r="D723" s="23" t="s">
        <v>8962</v>
      </c>
      <c r="E723" s="23">
        <v>3</v>
      </c>
    </row>
    <row r="724" spans="1:5" x14ac:dyDescent="0.25">
      <c r="A724" s="24">
        <v>367</v>
      </c>
      <c r="B724" s="24" t="s">
        <v>8954</v>
      </c>
      <c r="C724" s="23" t="s">
        <v>8963</v>
      </c>
      <c r="D724" s="23" t="s">
        <v>8963</v>
      </c>
      <c r="E724" s="23">
        <v>3</v>
      </c>
    </row>
    <row r="725" spans="1:5" x14ac:dyDescent="0.25">
      <c r="A725" s="24">
        <v>368</v>
      </c>
      <c r="B725" s="24" t="s">
        <v>8954</v>
      </c>
      <c r="C725" s="23" t="s">
        <v>8968</v>
      </c>
      <c r="D725" s="23" t="s">
        <v>8968</v>
      </c>
      <c r="E725" s="23">
        <v>3</v>
      </c>
    </row>
    <row r="726" spans="1:5" x14ac:dyDescent="0.25">
      <c r="A726" s="24">
        <v>639</v>
      </c>
      <c r="B726" s="24" t="s">
        <v>8969</v>
      </c>
      <c r="C726" s="24" t="s">
        <v>8970</v>
      </c>
      <c r="D726" s="25" t="s">
        <v>8971</v>
      </c>
      <c r="E726" s="23">
        <v>3</v>
      </c>
    </row>
    <row r="727" spans="1:5" x14ac:dyDescent="0.25">
      <c r="A727" s="24">
        <v>639</v>
      </c>
      <c r="B727" s="24" t="s">
        <v>8969</v>
      </c>
      <c r="C727" s="24" t="s">
        <v>8970</v>
      </c>
      <c r="D727" s="23" t="s">
        <v>8972</v>
      </c>
      <c r="E727" s="23">
        <v>3</v>
      </c>
    </row>
    <row r="728" spans="1:5" x14ac:dyDescent="0.25">
      <c r="A728" s="24">
        <v>639</v>
      </c>
      <c r="B728" s="24" t="s">
        <v>8969</v>
      </c>
      <c r="C728" s="24" t="s">
        <v>8970</v>
      </c>
      <c r="D728" s="23" t="s">
        <v>8973</v>
      </c>
      <c r="E728" s="23">
        <v>3</v>
      </c>
    </row>
    <row r="729" spans="1:5" x14ac:dyDescent="0.25">
      <c r="A729" s="24">
        <v>639</v>
      </c>
      <c r="B729" s="24" t="s">
        <v>8969</v>
      </c>
      <c r="C729" s="24" t="s">
        <v>8970</v>
      </c>
      <c r="D729" s="23" t="s">
        <v>8976</v>
      </c>
      <c r="E729" s="23">
        <v>3</v>
      </c>
    </row>
    <row r="730" spans="1:5" x14ac:dyDescent="0.25">
      <c r="A730" s="24">
        <v>369</v>
      </c>
      <c r="B730" s="24" t="s">
        <v>8969</v>
      </c>
      <c r="C730" s="25" t="s">
        <v>8971</v>
      </c>
      <c r="D730" s="25" t="s">
        <v>8971</v>
      </c>
      <c r="E730" s="23">
        <v>3</v>
      </c>
    </row>
    <row r="731" spans="1:5" x14ac:dyDescent="0.25">
      <c r="A731" s="24">
        <v>370</v>
      </c>
      <c r="B731" s="24" t="s">
        <v>8969</v>
      </c>
      <c r="C731" s="23" t="s">
        <v>8972</v>
      </c>
      <c r="D731" s="23" t="s">
        <v>8972</v>
      </c>
      <c r="E731" s="23">
        <v>3</v>
      </c>
    </row>
    <row r="732" spans="1:5" x14ac:dyDescent="0.25">
      <c r="A732" s="24">
        <v>371</v>
      </c>
      <c r="B732" s="24" t="s">
        <v>8969</v>
      </c>
      <c r="C732" s="23" t="s">
        <v>8973</v>
      </c>
      <c r="D732" s="23" t="s">
        <v>8973</v>
      </c>
      <c r="E732" s="23">
        <v>3</v>
      </c>
    </row>
    <row r="733" spans="1:5" x14ac:dyDescent="0.25">
      <c r="A733" s="24">
        <v>372</v>
      </c>
      <c r="B733" s="24" t="s">
        <v>8969</v>
      </c>
      <c r="C733" s="23" t="s">
        <v>8976</v>
      </c>
      <c r="D733" s="23" t="s">
        <v>8976</v>
      </c>
      <c r="E733" s="23">
        <v>3</v>
      </c>
    </row>
    <row r="734" spans="1:5" x14ac:dyDescent="0.25">
      <c r="A734" s="24">
        <v>640</v>
      </c>
      <c r="B734" s="24" t="s">
        <v>8980</v>
      </c>
      <c r="C734" s="24" t="s">
        <v>8981</v>
      </c>
      <c r="D734" s="25" t="s">
        <v>8982</v>
      </c>
      <c r="E734" s="23">
        <v>3</v>
      </c>
    </row>
    <row r="735" spans="1:5" x14ac:dyDescent="0.25">
      <c r="A735" s="24">
        <v>640</v>
      </c>
      <c r="B735" s="24" t="s">
        <v>8980</v>
      </c>
      <c r="C735" s="24" t="s">
        <v>8981</v>
      </c>
      <c r="D735" s="23" t="s">
        <v>8983</v>
      </c>
      <c r="E735" s="23">
        <v>3</v>
      </c>
    </row>
    <row r="736" spans="1:5" x14ac:dyDescent="0.25">
      <c r="A736" s="24">
        <v>640</v>
      </c>
      <c r="B736" s="24" t="s">
        <v>8980</v>
      </c>
      <c r="C736" s="24" t="s">
        <v>8981</v>
      </c>
      <c r="D736" s="23" t="s">
        <v>8985</v>
      </c>
      <c r="E736" s="23">
        <v>3</v>
      </c>
    </row>
    <row r="737" spans="1:5" x14ac:dyDescent="0.25">
      <c r="A737" s="24">
        <v>640</v>
      </c>
      <c r="B737" s="24" t="s">
        <v>8980</v>
      </c>
      <c r="C737" s="24" t="s">
        <v>8981</v>
      </c>
      <c r="D737" s="23" t="s">
        <v>8986</v>
      </c>
      <c r="E737" s="23">
        <v>3</v>
      </c>
    </row>
    <row r="738" spans="1:5" x14ac:dyDescent="0.25">
      <c r="A738" s="24">
        <v>640</v>
      </c>
      <c r="B738" s="24" t="s">
        <v>8980</v>
      </c>
      <c r="C738" s="24" t="s">
        <v>8981</v>
      </c>
      <c r="D738" s="23" t="s">
        <v>8988</v>
      </c>
      <c r="E738" s="23">
        <v>3</v>
      </c>
    </row>
    <row r="739" spans="1:5" x14ac:dyDescent="0.25">
      <c r="A739" s="24">
        <v>373</v>
      </c>
      <c r="B739" s="24" t="s">
        <v>8980</v>
      </c>
      <c r="C739" s="25" t="s">
        <v>8982</v>
      </c>
      <c r="D739" s="25" t="s">
        <v>8982</v>
      </c>
      <c r="E739" s="23">
        <v>3</v>
      </c>
    </row>
    <row r="740" spans="1:5" x14ac:dyDescent="0.25">
      <c r="A740" s="24">
        <v>374</v>
      </c>
      <c r="B740" s="24" t="s">
        <v>8980</v>
      </c>
      <c r="C740" s="23" t="s">
        <v>8983</v>
      </c>
      <c r="D740" s="23" t="s">
        <v>8983</v>
      </c>
      <c r="E740" s="23">
        <v>3</v>
      </c>
    </row>
    <row r="741" spans="1:5" x14ac:dyDescent="0.25">
      <c r="A741" s="24">
        <v>375</v>
      </c>
      <c r="B741" s="24" t="s">
        <v>8980</v>
      </c>
      <c r="C741" s="23" t="s">
        <v>8985</v>
      </c>
      <c r="D741" s="23" t="s">
        <v>8985</v>
      </c>
      <c r="E741" s="23">
        <v>3</v>
      </c>
    </row>
    <row r="742" spans="1:5" x14ac:dyDescent="0.25">
      <c r="A742" s="24">
        <v>376</v>
      </c>
      <c r="B742" s="24" t="s">
        <v>8980</v>
      </c>
      <c r="C742" s="23" t="s">
        <v>8986</v>
      </c>
      <c r="D742" s="23" t="s">
        <v>8986</v>
      </c>
      <c r="E742" s="23">
        <v>3</v>
      </c>
    </row>
    <row r="743" spans="1:5" x14ac:dyDescent="0.25">
      <c r="A743" s="24">
        <v>377</v>
      </c>
      <c r="B743" s="24" t="s">
        <v>8980</v>
      </c>
      <c r="C743" s="23" t="s">
        <v>8988</v>
      </c>
      <c r="D743" s="23" t="s">
        <v>8988</v>
      </c>
      <c r="E743" s="23">
        <v>3</v>
      </c>
    </row>
    <row r="744" spans="1:5" x14ac:dyDescent="0.25">
      <c r="A744" s="24">
        <v>641</v>
      </c>
      <c r="B744" s="24" t="s">
        <v>8990</v>
      </c>
      <c r="C744" s="24" t="s">
        <v>8991</v>
      </c>
      <c r="D744" s="25" t="s">
        <v>8992</v>
      </c>
      <c r="E744" s="23">
        <v>3</v>
      </c>
    </row>
    <row r="745" spans="1:5" x14ac:dyDescent="0.25">
      <c r="A745" s="24">
        <v>641</v>
      </c>
      <c r="B745" s="24" t="s">
        <v>8990</v>
      </c>
      <c r="C745" s="24" t="s">
        <v>8991</v>
      </c>
      <c r="D745" s="23" t="s">
        <v>9223</v>
      </c>
      <c r="E745" s="23">
        <v>3</v>
      </c>
    </row>
    <row r="746" spans="1:5" x14ac:dyDescent="0.25">
      <c r="A746" s="24">
        <v>641</v>
      </c>
      <c r="B746" s="24" t="s">
        <v>8990</v>
      </c>
      <c r="C746" s="24" t="s">
        <v>8991</v>
      </c>
      <c r="D746" s="23" t="s">
        <v>8994</v>
      </c>
      <c r="E746" s="23">
        <v>3</v>
      </c>
    </row>
    <row r="747" spans="1:5" x14ac:dyDescent="0.25">
      <c r="A747" s="24">
        <v>641</v>
      </c>
      <c r="B747" s="24" t="s">
        <v>8990</v>
      </c>
      <c r="C747" s="24" t="s">
        <v>8991</v>
      </c>
      <c r="D747" s="23" t="s">
        <v>9224</v>
      </c>
      <c r="E747" s="23">
        <v>3</v>
      </c>
    </row>
    <row r="748" spans="1:5" x14ac:dyDescent="0.25">
      <c r="A748" s="24">
        <v>641</v>
      </c>
      <c r="B748" s="24" t="s">
        <v>8990</v>
      </c>
      <c r="C748" s="24" t="s">
        <v>8991</v>
      </c>
      <c r="D748" s="23" t="s">
        <v>9225</v>
      </c>
      <c r="E748" s="23">
        <v>3</v>
      </c>
    </row>
    <row r="749" spans="1:5" x14ac:dyDescent="0.25">
      <c r="A749" s="24">
        <v>378</v>
      </c>
      <c r="B749" s="24" t="s">
        <v>8990</v>
      </c>
      <c r="C749" s="25" t="s">
        <v>8992</v>
      </c>
      <c r="D749" s="25" t="s">
        <v>8992</v>
      </c>
      <c r="E749" s="23">
        <v>3</v>
      </c>
    </row>
    <row r="750" spans="1:5" x14ac:dyDescent="0.25">
      <c r="A750" s="24">
        <v>379</v>
      </c>
      <c r="B750" s="24" t="s">
        <v>8990</v>
      </c>
      <c r="C750" s="23" t="s">
        <v>9223</v>
      </c>
      <c r="D750" s="23" t="s">
        <v>9223</v>
      </c>
      <c r="E750" s="23">
        <v>3</v>
      </c>
    </row>
    <row r="751" spans="1:5" x14ac:dyDescent="0.25">
      <c r="A751" s="24">
        <v>380</v>
      </c>
      <c r="B751" s="24" t="s">
        <v>8990</v>
      </c>
      <c r="C751" s="23" t="s">
        <v>8994</v>
      </c>
      <c r="D751" s="23" t="s">
        <v>8994</v>
      </c>
      <c r="E751" s="23">
        <v>3</v>
      </c>
    </row>
    <row r="752" spans="1:5" x14ac:dyDescent="0.25">
      <c r="A752" s="24">
        <v>381</v>
      </c>
      <c r="B752" s="24" t="s">
        <v>8990</v>
      </c>
      <c r="C752" s="23" t="s">
        <v>9224</v>
      </c>
      <c r="D752" s="23" t="s">
        <v>9224</v>
      </c>
      <c r="E752" s="23">
        <v>3</v>
      </c>
    </row>
    <row r="753" spans="1:5" x14ac:dyDescent="0.25">
      <c r="A753" s="24">
        <v>382</v>
      </c>
      <c r="B753" s="24" t="s">
        <v>8990</v>
      </c>
      <c r="C753" s="23" t="s">
        <v>9225</v>
      </c>
      <c r="D753" s="23" t="s">
        <v>9225</v>
      </c>
      <c r="E753" s="23">
        <v>3</v>
      </c>
    </row>
    <row r="754" spans="1:5" x14ac:dyDescent="0.25">
      <c r="A754" s="24">
        <v>642</v>
      </c>
      <c r="B754" s="24" t="s">
        <v>8996</v>
      </c>
      <c r="C754" s="24" t="s">
        <v>8997</v>
      </c>
      <c r="D754" s="25" t="s">
        <v>8998</v>
      </c>
      <c r="E754" s="23">
        <v>3</v>
      </c>
    </row>
    <row r="755" spans="1:5" x14ac:dyDescent="0.25">
      <c r="A755" s="24">
        <v>642</v>
      </c>
      <c r="B755" s="24" t="s">
        <v>8996</v>
      </c>
      <c r="C755" s="24" t="s">
        <v>8997</v>
      </c>
      <c r="D755" s="23" t="s">
        <v>8999</v>
      </c>
      <c r="E755" s="23">
        <v>3</v>
      </c>
    </row>
    <row r="756" spans="1:5" x14ac:dyDescent="0.25">
      <c r="A756" s="24">
        <v>642</v>
      </c>
      <c r="B756" s="24" t="s">
        <v>8996</v>
      </c>
      <c r="C756" s="24" t="s">
        <v>8997</v>
      </c>
      <c r="D756" s="23" t="s">
        <v>9000</v>
      </c>
      <c r="E756" s="23">
        <v>3</v>
      </c>
    </row>
    <row r="757" spans="1:5" x14ac:dyDescent="0.25">
      <c r="A757" s="24">
        <v>642</v>
      </c>
      <c r="B757" s="24" t="s">
        <v>8996</v>
      </c>
      <c r="C757" s="24" t="s">
        <v>8997</v>
      </c>
      <c r="D757" s="23" t="s">
        <v>9001</v>
      </c>
      <c r="E757" s="23">
        <v>3</v>
      </c>
    </row>
    <row r="758" spans="1:5" x14ac:dyDescent="0.25">
      <c r="A758" s="24">
        <v>383</v>
      </c>
      <c r="B758" s="24" t="s">
        <v>8996</v>
      </c>
      <c r="C758" s="25" t="s">
        <v>8998</v>
      </c>
      <c r="D758" s="25" t="s">
        <v>8998</v>
      </c>
      <c r="E758" s="23">
        <v>3</v>
      </c>
    </row>
    <row r="759" spans="1:5" x14ac:dyDescent="0.25">
      <c r="A759" s="24">
        <v>384</v>
      </c>
      <c r="B759" s="24" t="s">
        <v>8996</v>
      </c>
      <c r="C759" s="23" t="s">
        <v>8999</v>
      </c>
      <c r="D759" s="23" t="s">
        <v>8999</v>
      </c>
      <c r="E759" s="23">
        <v>3</v>
      </c>
    </row>
    <row r="760" spans="1:5" x14ac:dyDescent="0.25">
      <c r="A760" s="24">
        <v>385</v>
      </c>
      <c r="B760" s="24" t="s">
        <v>8996</v>
      </c>
      <c r="C760" s="23" t="s">
        <v>9000</v>
      </c>
      <c r="D760" s="23" t="s">
        <v>9000</v>
      </c>
      <c r="E760" s="23">
        <v>3</v>
      </c>
    </row>
    <row r="761" spans="1:5" x14ac:dyDescent="0.25">
      <c r="A761" s="24">
        <v>386</v>
      </c>
      <c r="B761" s="24" t="s">
        <v>8996</v>
      </c>
      <c r="C761" s="23" t="s">
        <v>9001</v>
      </c>
      <c r="D761" s="23" t="s">
        <v>9001</v>
      </c>
      <c r="E761" s="23">
        <v>3</v>
      </c>
    </row>
    <row r="762" spans="1:5" x14ac:dyDescent="0.25">
      <c r="A762" s="24">
        <v>387</v>
      </c>
      <c r="B762" s="24" t="s">
        <v>9002</v>
      </c>
      <c r="C762" s="24" t="s">
        <v>9003</v>
      </c>
      <c r="D762" s="25" t="s">
        <v>9004</v>
      </c>
      <c r="E762" s="23">
        <v>3</v>
      </c>
    </row>
    <row r="763" spans="1:5" x14ac:dyDescent="0.25">
      <c r="A763" s="24">
        <v>388</v>
      </c>
      <c r="B763" s="24" t="s">
        <v>9006</v>
      </c>
      <c r="C763" s="24" t="s">
        <v>9226</v>
      </c>
      <c r="D763" s="25" t="s">
        <v>9008</v>
      </c>
      <c r="E763" s="23">
        <v>3</v>
      </c>
    </row>
    <row r="764" spans="1:5" x14ac:dyDescent="0.25">
      <c r="A764" s="24">
        <v>643</v>
      </c>
      <c r="B764" s="24" t="s">
        <v>9009</v>
      </c>
      <c r="C764" s="24" t="s">
        <v>9010</v>
      </c>
      <c r="D764" s="25" t="s">
        <v>9011</v>
      </c>
      <c r="E764" s="23">
        <v>3</v>
      </c>
    </row>
    <row r="765" spans="1:5" x14ac:dyDescent="0.25">
      <c r="A765" s="24">
        <v>643</v>
      </c>
      <c r="B765" s="24" t="s">
        <v>9009</v>
      </c>
      <c r="C765" s="24" t="s">
        <v>9010</v>
      </c>
      <c r="D765" s="23" t="s">
        <v>9012</v>
      </c>
      <c r="E765" s="23">
        <v>3</v>
      </c>
    </row>
    <row r="766" spans="1:5" x14ac:dyDescent="0.25">
      <c r="A766" s="24">
        <v>643</v>
      </c>
      <c r="B766" s="24" t="s">
        <v>9009</v>
      </c>
      <c r="C766" s="24" t="s">
        <v>9010</v>
      </c>
      <c r="D766" s="23" t="s">
        <v>9013</v>
      </c>
      <c r="E766" s="23">
        <v>3</v>
      </c>
    </row>
    <row r="767" spans="1:5" x14ac:dyDescent="0.25">
      <c r="A767" s="24">
        <v>643</v>
      </c>
      <c r="B767" s="24" t="s">
        <v>9009</v>
      </c>
      <c r="C767" s="24" t="s">
        <v>9010</v>
      </c>
      <c r="D767" s="23" t="s">
        <v>9014</v>
      </c>
      <c r="E767" s="23">
        <v>3</v>
      </c>
    </row>
    <row r="768" spans="1:5" x14ac:dyDescent="0.25">
      <c r="A768" s="24">
        <v>643</v>
      </c>
      <c r="B768" s="24" t="s">
        <v>9009</v>
      </c>
      <c r="C768" s="24" t="s">
        <v>9010</v>
      </c>
      <c r="D768" s="23" t="s">
        <v>9015</v>
      </c>
      <c r="E768" s="23">
        <v>3</v>
      </c>
    </row>
    <row r="769" spans="1:5" x14ac:dyDescent="0.25">
      <c r="A769" s="24">
        <v>643</v>
      </c>
      <c r="B769" s="24" t="s">
        <v>9009</v>
      </c>
      <c r="C769" s="24" t="s">
        <v>9010</v>
      </c>
      <c r="D769" s="23" t="s">
        <v>9016</v>
      </c>
      <c r="E769" s="23">
        <v>3</v>
      </c>
    </row>
    <row r="770" spans="1:5" x14ac:dyDescent="0.25">
      <c r="A770" s="24">
        <v>643</v>
      </c>
      <c r="B770" s="24" t="s">
        <v>9009</v>
      </c>
      <c r="C770" s="24" t="s">
        <v>9010</v>
      </c>
      <c r="D770" s="23" t="s">
        <v>9017</v>
      </c>
      <c r="E770" s="23">
        <v>3</v>
      </c>
    </row>
    <row r="771" spans="1:5" x14ac:dyDescent="0.25">
      <c r="A771" s="24">
        <v>643</v>
      </c>
      <c r="B771" s="24" t="s">
        <v>9009</v>
      </c>
      <c r="C771" s="24" t="s">
        <v>9010</v>
      </c>
      <c r="D771" s="23" t="s">
        <v>9019</v>
      </c>
      <c r="E771" s="23">
        <v>3</v>
      </c>
    </row>
    <row r="772" spans="1:5" x14ac:dyDescent="0.25">
      <c r="A772" s="24">
        <v>643</v>
      </c>
      <c r="B772" s="24" t="s">
        <v>9009</v>
      </c>
      <c r="C772" s="24" t="s">
        <v>9010</v>
      </c>
      <c r="D772" s="23" t="s">
        <v>9020</v>
      </c>
      <c r="E772" s="23">
        <v>3</v>
      </c>
    </row>
    <row r="773" spans="1:5" x14ac:dyDescent="0.25">
      <c r="A773" s="24">
        <v>643</v>
      </c>
      <c r="B773" s="24" t="s">
        <v>9009</v>
      </c>
      <c r="C773" s="24" t="s">
        <v>9010</v>
      </c>
      <c r="D773" s="23" t="s">
        <v>9021</v>
      </c>
      <c r="E773" s="23">
        <v>3</v>
      </c>
    </row>
    <row r="774" spans="1:5" x14ac:dyDescent="0.25">
      <c r="A774" s="24">
        <v>643</v>
      </c>
      <c r="B774" s="24" t="s">
        <v>9009</v>
      </c>
      <c r="C774" s="24" t="s">
        <v>9010</v>
      </c>
      <c r="D774" s="23" t="s">
        <v>9022</v>
      </c>
      <c r="E774" s="23">
        <v>3</v>
      </c>
    </row>
    <row r="775" spans="1:5" x14ac:dyDescent="0.25">
      <c r="A775" s="24">
        <v>643</v>
      </c>
      <c r="B775" s="24" t="s">
        <v>9009</v>
      </c>
      <c r="C775" s="24" t="s">
        <v>9010</v>
      </c>
      <c r="D775" s="23" t="s">
        <v>9023</v>
      </c>
      <c r="E775" s="23">
        <v>3</v>
      </c>
    </row>
    <row r="776" spans="1:5" x14ac:dyDescent="0.25">
      <c r="A776" s="24">
        <v>643</v>
      </c>
      <c r="B776" s="24" t="s">
        <v>9009</v>
      </c>
      <c r="C776" s="24" t="s">
        <v>9010</v>
      </c>
      <c r="D776" s="23" t="s">
        <v>9024</v>
      </c>
      <c r="E776" s="23">
        <v>3</v>
      </c>
    </row>
    <row r="777" spans="1:5" x14ac:dyDescent="0.25">
      <c r="A777" s="24">
        <v>643</v>
      </c>
      <c r="B777" s="24" t="s">
        <v>9009</v>
      </c>
      <c r="C777" s="24" t="s">
        <v>9010</v>
      </c>
      <c r="D777" s="23" t="s">
        <v>9025</v>
      </c>
      <c r="E777" s="23">
        <v>3</v>
      </c>
    </row>
    <row r="778" spans="1:5" x14ac:dyDescent="0.25">
      <c r="A778" s="24">
        <v>389</v>
      </c>
      <c r="B778" s="24" t="s">
        <v>9009</v>
      </c>
      <c r="C778" s="25" t="s">
        <v>9011</v>
      </c>
      <c r="D778" s="25" t="s">
        <v>9011</v>
      </c>
      <c r="E778" s="23">
        <v>3</v>
      </c>
    </row>
    <row r="779" spans="1:5" x14ac:dyDescent="0.25">
      <c r="A779" s="24">
        <v>390</v>
      </c>
      <c r="B779" s="24" t="s">
        <v>9009</v>
      </c>
      <c r="C779" s="23" t="s">
        <v>9012</v>
      </c>
      <c r="D779" s="23" t="s">
        <v>9012</v>
      </c>
      <c r="E779" s="23">
        <v>3</v>
      </c>
    </row>
    <row r="780" spans="1:5" x14ac:dyDescent="0.25">
      <c r="A780" s="24">
        <v>391</v>
      </c>
      <c r="B780" s="24" t="s">
        <v>9009</v>
      </c>
      <c r="C780" s="23" t="s">
        <v>9013</v>
      </c>
      <c r="D780" s="23" t="s">
        <v>9013</v>
      </c>
      <c r="E780" s="23">
        <v>3</v>
      </c>
    </row>
    <row r="781" spans="1:5" x14ac:dyDescent="0.25">
      <c r="A781" s="24">
        <v>392</v>
      </c>
      <c r="B781" s="24" t="s">
        <v>9009</v>
      </c>
      <c r="C781" s="23" t="s">
        <v>9014</v>
      </c>
      <c r="D781" s="23" t="s">
        <v>9014</v>
      </c>
      <c r="E781" s="23">
        <v>3</v>
      </c>
    </row>
    <row r="782" spans="1:5" x14ac:dyDescent="0.25">
      <c r="A782" s="24">
        <v>393</v>
      </c>
      <c r="B782" s="24" t="s">
        <v>9009</v>
      </c>
      <c r="C782" s="23" t="s">
        <v>9015</v>
      </c>
      <c r="D782" s="23" t="s">
        <v>9015</v>
      </c>
      <c r="E782" s="23">
        <v>3</v>
      </c>
    </row>
    <row r="783" spans="1:5" x14ac:dyDescent="0.25">
      <c r="A783" s="24">
        <v>394</v>
      </c>
      <c r="B783" s="24" t="s">
        <v>9009</v>
      </c>
      <c r="C783" s="23" t="s">
        <v>9016</v>
      </c>
      <c r="D783" s="23" t="s">
        <v>9016</v>
      </c>
      <c r="E783" s="23">
        <v>3</v>
      </c>
    </row>
    <row r="784" spans="1:5" x14ac:dyDescent="0.25">
      <c r="A784" s="24">
        <v>395</v>
      </c>
      <c r="B784" s="24" t="s">
        <v>9009</v>
      </c>
      <c r="C784" s="23" t="s">
        <v>9017</v>
      </c>
      <c r="D784" s="23" t="s">
        <v>9017</v>
      </c>
      <c r="E784" s="23">
        <v>3</v>
      </c>
    </row>
    <row r="785" spans="1:5" x14ac:dyDescent="0.25">
      <c r="A785" s="24">
        <v>396</v>
      </c>
      <c r="B785" s="24" t="s">
        <v>9009</v>
      </c>
      <c r="C785" s="23" t="s">
        <v>9019</v>
      </c>
      <c r="D785" s="23" t="s">
        <v>9019</v>
      </c>
      <c r="E785" s="23">
        <v>3</v>
      </c>
    </row>
    <row r="786" spans="1:5" x14ac:dyDescent="0.25">
      <c r="A786" s="24">
        <v>397</v>
      </c>
      <c r="B786" s="24" t="s">
        <v>9009</v>
      </c>
      <c r="C786" s="23" t="s">
        <v>9020</v>
      </c>
      <c r="D786" s="23" t="s">
        <v>9020</v>
      </c>
      <c r="E786" s="23">
        <v>3</v>
      </c>
    </row>
    <row r="787" spans="1:5" x14ac:dyDescent="0.25">
      <c r="A787" s="24">
        <v>398</v>
      </c>
      <c r="B787" s="24" t="s">
        <v>9009</v>
      </c>
      <c r="C787" s="23" t="s">
        <v>9021</v>
      </c>
      <c r="D787" s="23" t="s">
        <v>9021</v>
      </c>
      <c r="E787" s="23">
        <v>3</v>
      </c>
    </row>
    <row r="788" spans="1:5" x14ac:dyDescent="0.25">
      <c r="A788" s="24">
        <v>399</v>
      </c>
      <c r="B788" s="24" t="s">
        <v>9009</v>
      </c>
      <c r="C788" s="23" t="s">
        <v>9022</v>
      </c>
      <c r="D788" s="23" t="s">
        <v>9022</v>
      </c>
      <c r="E788" s="23">
        <v>3</v>
      </c>
    </row>
    <row r="789" spans="1:5" x14ac:dyDescent="0.25">
      <c r="A789" s="24">
        <v>400</v>
      </c>
      <c r="B789" s="24" t="s">
        <v>9009</v>
      </c>
      <c r="C789" s="23" t="s">
        <v>9023</v>
      </c>
      <c r="D789" s="23" t="s">
        <v>9023</v>
      </c>
      <c r="E789" s="23">
        <v>3</v>
      </c>
    </row>
    <row r="790" spans="1:5" x14ac:dyDescent="0.25">
      <c r="A790" s="24">
        <v>401</v>
      </c>
      <c r="B790" s="24" t="s">
        <v>9009</v>
      </c>
      <c r="C790" s="23" t="s">
        <v>9024</v>
      </c>
      <c r="D790" s="23" t="s">
        <v>9024</v>
      </c>
      <c r="E790" s="23">
        <v>3</v>
      </c>
    </row>
    <row r="791" spans="1:5" x14ac:dyDescent="0.25">
      <c r="A791" s="24">
        <v>402</v>
      </c>
      <c r="B791" s="24" t="s">
        <v>9009</v>
      </c>
      <c r="C791" s="23" t="s">
        <v>9025</v>
      </c>
      <c r="D791" s="23" t="s">
        <v>9025</v>
      </c>
      <c r="E791" s="23">
        <v>3</v>
      </c>
    </row>
    <row r="792" spans="1:5" x14ac:dyDescent="0.25">
      <c r="A792" s="24">
        <v>644</v>
      </c>
      <c r="B792" s="24" t="s">
        <v>9026</v>
      </c>
      <c r="C792" s="24" t="s">
        <v>9027</v>
      </c>
      <c r="D792" s="25" t="s">
        <v>9028</v>
      </c>
      <c r="E792" s="23">
        <v>3</v>
      </c>
    </row>
    <row r="793" spans="1:5" x14ac:dyDescent="0.25">
      <c r="A793" s="24">
        <v>644</v>
      </c>
      <c r="B793" s="24" t="s">
        <v>9026</v>
      </c>
      <c r="C793" s="24" t="s">
        <v>9027</v>
      </c>
      <c r="D793" s="23" t="s">
        <v>9029</v>
      </c>
      <c r="E793" s="23">
        <v>3</v>
      </c>
    </row>
    <row r="794" spans="1:5" x14ac:dyDescent="0.25">
      <c r="A794" s="24">
        <v>644</v>
      </c>
      <c r="B794" s="24" t="s">
        <v>9026</v>
      </c>
      <c r="C794" s="24" t="s">
        <v>9027</v>
      </c>
      <c r="D794" s="23" t="s">
        <v>9030</v>
      </c>
      <c r="E794" s="23">
        <v>3</v>
      </c>
    </row>
    <row r="795" spans="1:5" x14ac:dyDescent="0.25">
      <c r="A795" s="24">
        <v>644</v>
      </c>
      <c r="B795" s="24" t="s">
        <v>9026</v>
      </c>
      <c r="C795" s="24" t="s">
        <v>9027</v>
      </c>
      <c r="D795" s="23" t="s">
        <v>9031</v>
      </c>
      <c r="E795" s="23">
        <v>3</v>
      </c>
    </row>
    <row r="796" spans="1:5" x14ac:dyDescent="0.25">
      <c r="A796" s="24">
        <v>644</v>
      </c>
      <c r="B796" s="24" t="s">
        <v>9026</v>
      </c>
      <c r="C796" s="24" t="s">
        <v>9027</v>
      </c>
      <c r="D796" s="23" t="s">
        <v>9227</v>
      </c>
      <c r="E796" s="23">
        <v>3</v>
      </c>
    </row>
    <row r="797" spans="1:5" x14ac:dyDescent="0.25">
      <c r="A797" s="24">
        <v>403</v>
      </c>
      <c r="B797" s="24" t="s">
        <v>9026</v>
      </c>
      <c r="C797" s="25" t="s">
        <v>9028</v>
      </c>
      <c r="D797" s="25" t="s">
        <v>9028</v>
      </c>
      <c r="E797" s="23">
        <v>3</v>
      </c>
    </row>
    <row r="798" spans="1:5" x14ac:dyDescent="0.25">
      <c r="A798" s="24">
        <v>404</v>
      </c>
      <c r="B798" s="24" t="s">
        <v>9026</v>
      </c>
      <c r="C798" s="23" t="s">
        <v>9029</v>
      </c>
      <c r="D798" s="23" t="s">
        <v>9029</v>
      </c>
      <c r="E798" s="23">
        <v>3</v>
      </c>
    </row>
    <row r="799" spans="1:5" x14ac:dyDescent="0.25">
      <c r="A799" s="24">
        <v>405</v>
      </c>
      <c r="B799" s="24" t="s">
        <v>9026</v>
      </c>
      <c r="C799" s="23" t="s">
        <v>9030</v>
      </c>
      <c r="D799" s="23" t="s">
        <v>9030</v>
      </c>
      <c r="E799" s="23">
        <v>3</v>
      </c>
    </row>
    <row r="800" spans="1:5" x14ac:dyDescent="0.25">
      <c r="A800" s="24">
        <v>406</v>
      </c>
      <c r="B800" s="24" t="s">
        <v>9026</v>
      </c>
      <c r="C800" s="23" t="s">
        <v>9031</v>
      </c>
      <c r="D800" s="23" t="s">
        <v>9031</v>
      </c>
      <c r="E800" s="23">
        <v>3</v>
      </c>
    </row>
    <row r="801" spans="1:5" x14ac:dyDescent="0.25">
      <c r="A801" s="24">
        <v>407</v>
      </c>
      <c r="B801" s="24" t="s">
        <v>9026</v>
      </c>
      <c r="C801" s="23" t="s">
        <v>9227</v>
      </c>
      <c r="D801" s="23" t="s">
        <v>9227</v>
      </c>
      <c r="E801" s="23">
        <v>3</v>
      </c>
    </row>
    <row r="802" spans="1:5" x14ac:dyDescent="0.25">
      <c r="A802" s="24">
        <v>408</v>
      </c>
      <c r="B802" s="24" t="s">
        <v>9032</v>
      </c>
      <c r="C802" s="24" t="s">
        <v>9033</v>
      </c>
      <c r="D802" s="24" t="s">
        <v>9033</v>
      </c>
      <c r="E802" s="23">
        <v>3</v>
      </c>
    </row>
    <row r="803" spans="1:5" x14ac:dyDescent="0.25">
      <c r="A803" s="24">
        <v>409</v>
      </c>
      <c r="B803" s="24" t="s">
        <v>9035</v>
      </c>
      <c r="C803" s="24" t="s">
        <v>9036</v>
      </c>
      <c r="D803" s="24" t="s">
        <v>9036</v>
      </c>
      <c r="E803" s="23">
        <v>3</v>
      </c>
    </row>
    <row r="804" spans="1:5" x14ac:dyDescent="0.25">
      <c r="A804" s="24">
        <v>645</v>
      </c>
      <c r="B804" s="24" t="s">
        <v>9039</v>
      </c>
      <c r="C804" s="24" t="s">
        <v>9040</v>
      </c>
      <c r="D804" s="25" t="s">
        <v>9041</v>
      </c>
      <c r="E804" s="23">
        <v>3</v>
      </c>
    </row>
    <row r="805" spans="1:5" x14ac:dyDescent="0.25">
      <c r="A805" s="24">
        <v>645</v>
      </c>
      <c r="B805" s="24" t="s">
        <v>9039</v>
      </c>
      <c r="C805" s="24" t="s">
        <v>9040</v>
      </c>
      <c r="D805" s="23" t="s">
        <v>9042</v>
      </c>
      <c r="E805" s="23">
        <v>3</v>
      </c>
    </row>
    <row r="806" spans="1:5" x14ac:dyDescent="0.25">
      <c r="A806" s="24">
        <v>645</v>
      </c>
      <c r="B806" s="24" t="s">
        <v>9039</v>
      </c>
      <c r="C806" s="24" t="s">
        <v>9040</v>
      </c>
      <c r="D806" s="23" t="s">
        <v>9044</v>
      </c>
      <c r="E806" s="23">
        <v>3</v>
      </c>
    </row>
    <row r="807" spans="1:5" x14ac:dyDescent="0.25">
      <c r="A807" s="24">
        <v>645</v>
      </c>
      <c r="B807" s="24" t="s">
        <v>9039</v>
      </c>
      <c r="C807" s="24" t="s">
        <v>9040</v>
      </c>
      <c r="D807" s="23" t="s">
        <v>9045</v>
      </c>
      <c r="E807" s="23">
        <v>3</v>
      </c>
    </row>
    <row r="808" spans="1:5" x14ac:dyDescent="0.25">
      <c r="A808" s="24">
        <v>645</v>
      </c>
      <c r="B808" s="24" t="s">
        <v>9039</v>
      </c>
      <c r="C808" s="24" t="s">
        <v>9040</v>
      </c>
      <c r="D808" s="23" t="s">
        <v>9046</v>
      </c>
      <c r="E808" s="23">
        <v>3</v>
      </c>
    </row>
    <row r="809" spans="1:5" x14ac:dyDescent="0.25">
      <c r="A809" s="24">
        <v>645</v>
      </c>
      <c r="B809" s="24" t="s">
        <v>9039</v>
      </c>
      <c r="C809" s="24" t="s">
        <v>9040</v>
      </c>
      <c r="D809" s="23" t="s">
        <v>9048</v>
      </c>
      <c r="E809" s="23">
        <v>3</v>
      </c>
    </row>
    <row r="810" spans="1:5" x14ac:dyDescent="0.25">
      <c r="A810" s="24">
        <v>645</v>
      </c>
      <c r="B810" s="24" t="s">
        <v>9039</v>
      </c>
      <c r="C810" s="24" t="s">
        <v>9040</v>
      </c>
      <c r="D810" s="23" t="s">
        <v>9228</v>
      </c>
      <c r="E810" s="23">
        <v>3</v>
      </c>
    </row>
    <row r="811" spans="1:5" x14ac:dyDescent="0.25">
      <c r="A811" s="24">
        <v>645</v>
      </c>
      <c r="B811" s="24" t="s">
        <v>9039</v>
      </c>
      <c r="C811" s="24" t="s">
        <v>9040</v>
      </c>
      <c r="D811" s="23" t="s">
        <v>9052</v>
      </c>
      <c r="E811" s="23">
        <v>3</v>
      </c>
    </row>
    <row r="812" spans="1:5" x14ac:dyDescent="0.25">
      <c r="A812" s="24">
        <v>645</v>
      </c>
      <c r="B812" s="24" t="s">
        <v>9039</v>
      </c>
      <c r="C812" s="24" t="s">
        <v>9040</v>
      </c>
      <c r="D812" s="23" t="s">
        <v>9053</v>
      </c>
      <c r="E812" s="23">
        <v>3</v>
      </c>
    </row>
    <row r="813" spans="1:5" x14ac:dyDescent="0.25">
      <c r="A813" s="24">
        <v>645</v>
      </c>
      <c r="B813" s="24" t="s">
        <v>9039</v>
      </c>
      <c r="C813" s="24" t="s">
        <v>9040</v>
      </c>
      <c r="D813" s="23" t="s">
        <v>9059</v>
      </c>
      <c r="E813" s="23">
        <v>3</v>
      </c>
    </row>
    <row r="814" spans="1:5" x14ac:dyDescent="0.25">
      <c r="A814" s="24">
        <v>645</v>
      </c>
      <c r="B814" s="24" t="s">
        <v>9039</v>
      </c>
      <c r="C814" s="24" t="s">
        <v>9040</v>
      </c>
      <c r="D814" s="23" t="s">
        <v>9060</v>
      </c>
      <c r="E814" s="23">
        <v>3</v>
      </c>
    </row>
    <row r="815" spans="1:5" x14ac:dyDescent="0.25">
      <c r="A815" s="24">
        <v>645</v>
      </c>
      <c r="B815" s="24" t="s">
        <v>9039</v>
      </c>
      <c r="C815" s="24" t="s">
        <v>9040</v>
      </c>
      <c r="D815" s="23" t="s">
        <v>9064</v>
      </c>
      <c r="E815" s="23">
        <v>3</v>
      </c>
    </row>
    <row r="816" spans="1:5" x14ac:dyDescent="0.25">
      <c r="A816" s="24">
        <v>645</v>
      </c>
      <c r="B816" s="24" t="s">
        <v>9039</v>
      </c>
      <c r="C816" s="24" t="s">
        <v>9040</v>
      </c>
      <c r="D816" s="23" t="s">
        <v>9065</v>
      </c>
      <c r="E816" s="23">
        <v>3</v>
      </c>
    </row>
    <row r="817" spans="1:5" x14ac:dyDescent="0.25">
      <c r="A817" s="24">
        <v>645</v>
      </c>
      <c r="B817" s="24" t="s">
        <v>9039</v>
      </c>
      <c r="C817" s="24" t="s">
        <v>9040</v>
      </c>
      <c r="D817" s="23" t="s">
        <v>9066</v>
      </c>
      <c r="E817" s="23">
        <v>3</v>
      </c>
    </row>
    <row r="818" spans="1:5" x14ac:dyDescent="0.25">
      <c r="A818" s="24">
        <v>410</v>
      </c>
      <c r="B818" s="24" t="s">
        <v>9039</v>
      </c>
      <c r="C818" s="25" t="s">
        <v>9041</v>
      </c>
      <c r="D818" s="25" t="s">
        <v>9041</v>
      </c>
      <c r="E818" s="23">
        <v>3</v>
      </c>
    </row>
    <row r="819" spans="1:5" x14ac:dyDescent="0.25">
      <c r="A819" s="24">
        <v>411</v>
      </c>
      <c r="B819" s="24" t="s">
        <v>9039</v>
      </c>
      <c r="C819" s="23" t="s">
        <v>9042</v>
      </c>
      <c r="D819" s="23" t="s">
        <v>9042</v>
      </c>
      <c r="E819" s="23">
        <v>3</v>
      </c>
    </row>
    <row r="820" spans="1:5" x14ac:dyDescent="0.25">
      <c r="A820" s="24">
        <v>412</v>
      </c>
      <c r="B820" s="24" t="s">
        <v>9039</v>
      </c>
      <c r="C820" s="23" t="s">
        <v>9044</v>
      </c>
      <c r="D820" s="23" t="s">
        <v>9044</v>
      </c>
      <c r="E820" s="23">
        <v>3</v>
      </c>
    </row>
    <row r="821" spans="1:5" x14ac:dyDescent="0.25">
      <c r="A821" s="24">
        <v>413</v>
      </c>
      <c r="B821" s="24" t="s">
        <v>9039</v>
      </c>
      <c r="C821" s="23" t="s">
        <v>9045</v>
      </c>
      <c r="D821" s="23" t="s">
        <v>9045</v>
      </c>
      <c r="E821" s="23">
        <v>3</v>
      </c>
    </row>
    <row r="822" spans="1:5" x14ac:dyDescent="0.25">
      <c r="A822" s="24">
        <v>414</v>
      </c>
      <c r="B822" s="24" t="s">
        <v>9039</v>
      </c>
      <c r="C822" s="23" t="s">
        <v>9046</v>
      </c>
      <c r="D822" s="23" t="s">
        <v>9046</v>
      </c>
      <c r="E822" s="23">
        <v>3</v>
      </c>
    </row>
    <row r="823" spans="1:5" x14ac:dyDescent="0.25">
      <c r="A823" s="24">
        <v>415</v>
      </c>
      <c r="B823" s="24" t="s">
        <v>9039</v>
      </c>
      <c r="C823" s="23" t="s">
        <v>9048</v>
      </c>
      <c r="D823" s="23" t="s">
        <v>9048</v>
      </c>
      <c r="E823" s="23">
        <v>3</v>
      </c>
    </row>
    <row r="824" spans="1:5" x14ac:dyDescent="0.25">
      <c r="A824" s="24">
        <v>416</v>
      </c>
      <c r="B824" s="24" t="s">
        <v>9039</v>
      </c>
      <c r="C824" s="23" t="s">
        <v>9228</v>
      </c>
      <c r="D824" s="23" t="s">
        <v>9228</v>
      </c>
      <c r="E824" s="23">
        <v>3</v>
      </c>
    </row>
    <row r="825" spans="1:5" x14ac:dyDescent="0.25">
      <c r="A825" s="24">
        <v>417</v>
      </c>
      <c r="B825" s="24" t="s">
        <v>9039</v>
      </c>
      <c r="C825" s="23" t="s">
        <v>9052</v>
      </c>
      <c r="D825" s="23" t="s">
        <v>9052</v>
      </c>
      <c r="E825" s="23">
        <v>3</v>
      </c>
    </row>
    <row r="826" spans="1:5" x14ac:dyDescent="0.25">
      <c r="A826" s="24">
        <v>418</v>
      </c>
      <c r="B826" s="24" t="s">
        <v>9039</v>
      </c>
      <c r="C826" s="23" t="s">
        <v>9053</v>
      </c>
      <c r="D826" s="23" t="s">
        <v>9053</v>
      </c>
      <c r="E826" s="23">
        <v>3</v>
      </c>
    </row>
    <row r="827" spans="1:5" x14ac:dyDescent="0.25">
      <c r="A827" s="24">
        <v>419</v>
      </c>
      <c r="B827" s="24" t="s">
        <v>9039</v>
      </c>
      <c r="C827" s="23" t="s">
        <v>9059</v>
      </c>
      <c r="D827" s="23" t="s">
        <v>9059</v>
      </c>
      <c r="E827" s="23">
        <v>3</v>
      </c>
    </row>
    <row r="828" spans="1:5" x14ac:dyDescent="0.25">
      <c r="A828" s="24">
        <v>420</v>
      </c>
      <c r="B828" s="24" t="s">
        <v>9039</v>
      </c>
      <c r="C828" s="23" t="s">
        <v>9060</v>
      </c>
      <c r="D828" s="23" t="s">
        <v>9060</v>
      </c>
      <c r="E828" s="23">
        <v>3</v>
      </c>
    </row>
    <row r="829" spans="1:5" x14ac:dyDescent="0.25">
      <c r="A829" s="24">
        <v>421</v>
      </c>
      <c r="B829" s="24" t="s">
        <v>9039</v>
      </c>
      <c r="C829" s="23" t="s">
        <v>9064</v>
      </c>
      <c r="D829" s="23" t="s">
        <v>9064</v>
      </c>
      <c r="E829" s="23">
        <v>3</v>
      </c>
    </row>
    <row r="830" spans="1:5" x14ac:dyDescent="0.25">
      <c r="A830" s="24">
        <v>422</v>
      </c>
      <c r="B830" s="24" t="s">
        <v>9039</v>
      </c>
      <c r="C830" s="23" t="s">
        <v>9065</v>
      </c>
      <c r="D830" s="23" t="s">
        <v>9065</v>
      </c>
      <c r="E830" s="23">
        <v>3</v>
      </c>
    </row>
    <row r="831" spans="1:5" x14ac:dyDescent="0.25">
      <c r="A831" s="24">
        <v>423</v>
      </c>
      <c r="B831" s="24" t="s">
        <v>9039</v>
      </c>
      <c r="C831" s="23" t="s">
        <v>9066</v>
      </c>
      <c r="D831" s="23" t="s">
        <v>9066</v>
      </c>
      <c r="E831" s="23">
        <v>3</v>
      </c>
    </row>
    <row r="832" spans="1:5" x14ac:dyDescent="0.25">
      <c r="A832" s="24">
        <v>646</v>
      </c>
      <c r="B832" s="24" t="s">
        <v>9067</v>
      </c>
      <c r="C832" s="24" t="s">
        <v>9068</v>
      </c>
      <c r="D832" s="25" t="s">
        <v>9069</v>
      </c>
      <c r="E832" s="23">
        <v>3</v>
      </c>
    </row>
    <row r="833" spans="1:5" x14ac:dyDescent="0.25">
      <c r="A833" s="24">
        <v>646</v>
      </c>
      <c r="B833" s="24" t="s">
        <v>9067</v>
      </c>
      <c r="C833" s="24" t="s">
        <v>9068</v>
      </c>
      <c r="D833" s="23" t="s">
        <v>9071</v>
      </c>
      <c r="E833" s="23">
        <v>3</v>
      </c>
    </row>
    <row r="834" spans="1:5" x14ac:dyDescent="0.25">
      <c r="A834" s="24">
        <v>646</v>
      </c>
      <c r="B834" s="24" t="s">
        <v>9067</v>
      </c>
      <c r="C834" s="24" t="s">
        <v>9068</v>
      </c>
      <c r="D834" s="23" t="s">
        <v>9072</v>
      </c>
      <c r="E834" s="23">
        <v>3</v>
      </c>
    </row>
    <row r="835" spans="1:5" x14ac:dyDescent="0.25">
      <c r="A835" s="24">
        <v>424</v>
      </c>
      <c r="B835" s="24" t="s">
        <v>9067</v>
      </c>
      <c r="C835" s="25" t="s">
        <v>9069</v>
      </c>
      <c r="D835" s="25" t="s">
        <v>9069</v>
      </c>
      <c r="E835" s="23">
        <v>3</v>
      </c>
    </row>
    <row r="836" spans="1:5" x14ac:dyDescent="0.25">
      <c r="A836" s="24">
        <v>425</v>
      </c>
      <c r="B836" s="24" t="s">
        <v>9067</v>
      </c>
      <c r="C836" s="23" t="s">
        <v>9071</v>
      </c>
      <c r="D836" s="23" t="s">
        <v>9071</v>
      </c>
      <c r="E836" s="23">
        <v>3</v>
      </c>
    </row>
    <row r="837" spans="1:5" x14ac:dyDescent="0.25">
      <c r="A837" s="24">
        <v>426</v>
      </c>
      <c r="B837" s="24" t="s">
        <v>9067</v>
      </c>
      <c r="C837" s="23" t="s">
        <v>9072</v>
      </c>
      <c r="D837" s="23" t="s">
        <v>9072</v>
      </c>
      <c r="E837" s="23">
        <v>3</v>
      </c>
    </row>
    <row r="838" spans="1:5" x14ac:dyDescent="0.25">
      <c r="A838" s="24">
        <v>647</v>
      </c>
      <c r="B838" s="24" t="s">
        <v>9076</v>
      </c>
      <c r="C838" s="24" t="s">
        <v>9077</v>
      </c>
      <c r="D838" s="25" t="s">
        <v>9078</v>
      </c>
      <c r="E838" s="23">
        <v>3</v>
      </c>
    </row>
    <row r="839" spans="1:5" x14ac:dyDescent="0.25">
      <c r="A839" s="24">
        <v>647</v>
      </c>
      <c r="B839" s="24" t="s">
        <v>9076</v>
      </c>
      <c r="C839" s="24" t="s">
        <v>9077</v>
      </c>
      <c r="D839" s="23" t="s">
        <v>9080</v>
      </c>
      <c r="E839" s="23">
        <v>3</v>
      </c>
    </row>
    <row r="840" spans="1:5" x14ac:dyDescent="0.25">
      <c r="A840" s="24">
        <v>647</v>
      </c>
      <c r="B840" s="24" t="s">
        <v>9076</v>
      </c>
      <c r="C840" s="24" t="s">
        <v>9077</v>
      </c>
      <c r="D840" s="23" t="s">
        <v>9081</v>
      </c>
      <c r="E840" s="23">
        <v>3</v>
      </c>
    </row>
    <row r="841" spans="1:5" x14ac:dyDescent="0.25">
      <c r="A841" s="24">
        <v>428</v>
      </c>
      <c r="B841" s="24" t="s">
        <v>9076</v>
      </c>
      <c r="C841" s="25" t="s">
        <v>9078</v>
      </c>
      <c r="D841" s="25" t="s">
        <v>9078</v>
      </c>
      <c r="E841" s="23">
        <v>3</v>
      </c>
    </row>
    <row r="842" spans="1:5" x14ac:dyDescent="0.25">
      <c r="A842" s="24">
        <v>429</v>
      </c>
      <c r="B842" s="24" t="s">
        <v>9076</v>
      </c>
      <c r="C842" s="23" t="s">
        <v>9080</v>
      </c>
      <c r="D842" s="23" t="s">
        <v>9080</v>
      </c>
      <c r="E842" s="23">
        <v>3</v>
      </c>
    </row>
    <row r="843" spans="1:5" x14ac:dyDescent="0.25">
      <c r="A843" s="24">
        <v>430</v>
      </c>
      <c r="B843" s="24" t="s">
        <v>9076</v>
      </c>
      <c r="C843" s="23" t="s">
        <v>9081</v>
      </c>
      <c r="D843" s="23" t="s">
        <v>9081</v>
      </c>
      <c r="E843" s="23">
        <v>3</v>
      </c>
    </row>
    <row r="844" spans="1:5" x14ac:dyDescent="0.25">
      <c r="A844" s="24">
        <v>648</v>
      </c>
      <c r="B844" s="24" t="s">
        <v>9082</v>
      </c>
      <c r="C844" s="24" t="s">
        <v>9083</v>
      </c>
      <c r="D844" s="25" t="s">
        <v>9084</v>
      </c>
      <c r="E844" s="23">
        <v>3</v>
      </c>
    </row>
    <row r="845" spans="1:5" x14ac:dyDescent="0.25">
      <c r="A845" s="24">
        <v>648</v>
      </c>
      <c r="B845" s="24" t="s">
        <v>9082</v>
      </c>
      <c r="C845" s="24" t="s">
        <v>9083</v>
      </c>
      <c r="D845" s="23" t="s">
        <v>9085</v>
      </c>
      <c r="E845" s="23">
        <v>3</v>
      </c>
    </row>
    <row r="846" spans="1:5" x14ac:dyDescent="0.25">
      <c r="A846" s="24">
        <v>648</v>
      </c>
      <c r="B846" s="24" t="s">
        <v>9082</v>
      </c>
      <c r="C846" s="24" t="s">
        <v>9083</v>
      </c>
      <c r="D846" s="23" t="s">
        <v>9086</v>
      </c>
      <c r="E846" s="23">
        <v>3</v>
      </c>
    </row>
    <row r="847" spans="1:5" x14ac:dyDescent="0.25">
      <c r="A847" s="24">
        <v>648</v>
      </c>
      <c r="B847" s="24" t="s">
        <v>9082</v>
      </c>
      <c r="C847" s="24" t="s">
        <v>9083</v>
      </c>
      <c r="D847" s="23" t="s">
        <v>9087</v>
      </c>
      <c r="E847" s="23">
        <v>3</v>
      </c>
    </row>
    <row r="848" spans="1:5" x14ac:dyDescent="0.25">
      <c r="A848" s="24">
        <v>431</v>
      </c>
      <c r="B848" s="24" t="s">
        <v>9082</v>
      </c>
      <c r="C848" s="25" t="s">
        <v>9084</v>
      </c>
      <c r="D848" s="25" t="s">
        <v>9084</v>
      </c>
      <c r="E848" s="23">
        <v>3</v>
      </c>
    </row>
    <row r="849" spans="1:5" x14ac:dyDescent="0.25">
      <c r="A849" s="24">
        <v>432</v>
      </c>
      <c r="B849" s="24" t="s">
        <v>9082</v>
      </c>
      <c r="C849" s="23" t="s">
        <v>9085</v>
      </c>
      <c r="D849" s="23" t="s">
        <v>9085</v>
      </c>
      <c r="E849" s="23">
        <v>3</v>
      </c>
    </row>
    <row r="850" spans="1:5" x14ac:dyDescent="0.25">
      <c r="A850" s="24">
        <v>433</v>
      </c>
      <c r="B850" s="24" t="s">
        <v>9082</v>
      </c>
      <c r="C850" s="23" t="s">
        <v>9086</v>
      </c>
      <c r="D850" s="23" t="s">
        <v>9086</v>
      </c>
      <c r="E850" s="23">
        <v>3</v>
      </c>
    </row>
    <row r="851" spans="1:5" x14ac:dyDescent="0.25">
      <c r="A851" s="24">
        <v>434</v>
      </c>
      <c r="B851" s="24" t="s">
        <v>9082</v>
      </c>
      <c r="C851" s="23" t="s">
        <v>9087</v>
      </c>
      <c r="D851" s="23" t="s">
        <v>9087</v>
      </c>
      <c r="E851" s="23">
        <v>3</v>
      </c>
    </row>
    <row r="852" spans="1:5" x14ac:dyDescent="0.25">
      <c r="A852" s="24">
        <v>649</v>
      </c>
      <c r="B852" s="24" t="s">
        <v>9089</v>
      </c>
      <c r="C852" s="24" t="s">
        <v>9090</v>
      </c>
      <c r="D852" s="25" t="s">
        <v>9091</v>
      </c>
      <c r="E852" s="23">
        <v>3</v>
      </c>
    </row>
    <row r="853" spans="1:5" x14ac:dyDescent="0.25">
      <c r="A853" s="24">
        <v>649</v>
      </c>
      <c r="B853" s="24" t="s">
        <v>9089</v>
      </c>
      <c r="C853" s="24" t="s">
        <v>9090</v>
      </c>
      <c r="D853" s="23" t="s">
        <v>9094</v>
      </c>
      <c r="E853" s="23">
        <v>3</v>
      </c>
    </row>
    <row r="854" spans="1:5" x14ac:dyDescent="0.25">
      <c r="A854" s="24">
        <v>649</v>
      </c>
      <c r="B854" s="24" t="s">
        <v>9089</v>
      </c>
      <c r="C854" s="24" t="s">
        <v>9090</v>
      </c>
      <c r="D854" s="23" t="s">
        <v>9095</v>
      </c>
      <c r="E854" s="23">
        <v>3</v>
      </c>
    </row>
    <row r="855" spans="1:5" x14ac:dyDescent="0.25">
      <c r="A855" s="24">
        <v>649</v>
      </c>
      <c r="B855" s="24" t="s">
        <v>9089</v>
      </c>
      <c r="C855" s="24" t="s">
        <v>9090</v>
      </c>
      <c r="D855" s="23" t="s">
        <v>9096</v>
      </c>
      <c r="E855" s="23">
        <v>3</v>
      </c>
    </row>
    <row r="856" spans="1:5" x14ac:dyDescent="0.25">
      <c r="A856" s="24">
        <v>649</v>
      </c>
      <c r="B856" s="24" t="s">
        <v>9089</v>
      </c>
      <c r="C856" s="24" t="s">
        <v>9090</v>
      </c>
      <c r="D856" s="23" t="s">
        <v>9097</v>
      </c>
      <c r="E856" s="23">
        <v>3</v>
      </c>
    </row>
    <row r="857" spans="1:5" x14ac:dyDescent="0.25">
      <c r="A857" s="24">
        <v>649</v>
      </c>
      <c r="B857" s="24" t="s">
        <v>9089</v>
      </c>
      <c r="C857" s="24" t="s">
        <v>9090</v>
      </c>
      <c r="D857" s="23" t="s">
        <v>9098</v>
      </c>
      <c r="E857" s="23">
        <v>3</v>
      </c>
    </row>
    <row r="858" spans="1:5" x14ac:dyDescent="0.25">
      <c r="A858" s="24">
        <v>435</v>
      </c>
      <c r="B858" s="24" t="s">
        <v>9089</v>
      </c>
      <c r="C858" s="25" t="s">
        <v>9091</v>
      </c>
      <c r="D858" s="25" t="s">
        <v>9091</v>
      </c>
      <c r="E858" s="23">
        <v>3</v>
      </c>
    </row>
    <row r="859" spans="1:5" x14ac:dyDescent="0.25">
      <c r="A859" s="24">
        <v>436</v>
      </c>
      <c r="B859" s="24" t="s">
        <v>9089</v>
      </c>
      <c r="C859" s="23" t="s">
        <v>9094</v>
      </c>
      <c r="D859" s="23" t="s">
        <v>9094</v>
      </c>
      <c r="E859" s="23">
        <v>3</v>
      </c>
    </row>
    <row r="860" spans="1:5" x14ac:dyDescent="0.25">
      <c r="A860" s="24">
        <v>437</v>
      </c>
      <c r="B860" s="24" t="s">
        <v>9089</v>
      </c>
      <c r="C860" s="23" t="s">
        <v>9095</v>
      </c>
      <c r="D860" s="23" t="s">
        <v>9095</v>
      </c>
      <c r="E860" s="23">
        <v>3</v>
      </c>
    </row>
    <row r="861" spans="1:5" x14ac:dyDescent="0.25">
      <c r="A861" s="24">
        <v>438</v>
      </c>
      <c r="B861" s="24" t="s">
        <v>9089</v>
      </c>
      <c r="C861" s="23" t="s">
        <v>9096</v>
      </c>
      <c r="D861" s="23" t="s">
        <v>9096</v>
      </c>
      <c r="E861" s="23">
        <v>3</v>
      </c>
    </row>
    <row r="862" spans="1:5" x14ac:dyDescent="0.25">
      <c r="A862" s="24">
        <v>439</v>
      </c>
      <c r="B862" s="24" t="s">
        <v>9089</v>
      </c>
      <c r="C862" s="23" t="s">
        <v>9097</v>
      </c>
      <c r="D862" s="23" t="s">
        <v>9097</v>
      </c>
      <c r="E862" s="23">
        <v>3</v>
      </c>
    </row>
    <row r="863" spans="1:5" x14ac:dyDescent="0.25">
      <c r="A863" s="24">
        <v>440</v>
      </c>
      <c r="B863" s="24" t="s">
        <v>9089</v>
      </c>
      <c r="C863" s="23" t="s">
        <v>9098</v>
      </c>
      <c r="D863" s="23" t="s">
        <v>9098</v>
      </c>
      <c r="E863" s="23">
        <v>3</v>
      </c>
    </row>
    <row r="864" spans="1:5" x14ac:dyDescent="0.25">
      <c r="A864" s="24">
        <v>441</v>
      </c>
      <c r="B864" s="24" t="s">
        <v>9099</v>
      </c>
      <c r="C864" s="24" t="s">
        <v>9100</v>
      </c>
      <c r="D864" s="24" t="s">
        <v>9100</v>
      </c>
      <c r="E864" s="23">
        <v>3</v>
      </c>
    </row>
    <row r="865" spans="1:5" x14ac:dyDescent="0.25">
      <c r="A865" s="24">
        <v>650</v>
      </c>
      <c r="B865" s="24" t="s">
        <v>9102</v>
      </c>
      <c r="C865" s="24" t="s">
        <v>9103</v>
      </c>
      <c r="D865" s="25" t="s">
        <v>9104</v>
      </c>
      <c r="E865" s="23">
        <v>3</v>
      </c>
    </row>
    <row r="866" spans="1:5" x14ac:dyDescent="0.25">
      <c r="A866" s="24">
        <v>650</v>
      </c>
      <c r="B866" s="24" t="s">
        <v>9102</v>
      </c>
      <c r="C866" s="24" t="s">
        <v>9103</v>
      </c>
      <c r="D866" s="23" t="s">
        <v>9105</v>
      </c>
      <c r="E866" s="23">
        <v>3</v>
      </c>
    </row>
    <row r="867" spans="1:5" x14ac:dyDescent="0.25">
      <c r="A867" s="24">
        <v>650</v>
      </c>
      <c r="B867" s="24" t="s">
        <v>9102</v>
      </c>
      <c r="C867" s="24" t="s">
        <v>9103</v>
      </c>
      <c r="D867" s="23" t="s">
        <v>9106</v>
      </c>
      <c r="E867" s="23">
        <v>3</v>
      </c>
    </row>
    <row r="868" spans="1:5" x14ac:dyDescent="0.25">
      <c r="A868" s="24">
        <v>650</v>
      </c>
      <c r="B868" s="24" t="s">
        <v>9102</v>
      </c>
      <c r="C868" s="24" t="s">
        <v>9103</v>
      </c>
      <c r="D868" s="23" t="s">
        <v>9107</v>
      </c>
      <c r="E868" s="23">
        <v>3</v>
      </c>
    </row>
    <row r="869" spans="1:5" x14ac:dyDescent="0.25">
      <c r="A869" s="24">
        <v>442</v>
      </c>
      <c r="B869" s="24" t="s">
        <v>9102</v>
      </c>
      <c r="C869" s="25" t="s">
        <v>9104</v>
      </c>
      <c r="D869" s="25" t="s">
        <v>9104</v>
      </c>
      <c r="E869" s="23">
        <v>3</v>
      </c>
    </row>
    <row r="870" spans="1:5" x14ac:dyDescent="0.25">
      <c r="A870" s="24">
        <v>443</v>
      </c>
      <c r="B870" s="24" t="s">
        <v>9102</v>
      </c>
      <c r="C870" s="23" t="s">
        <v>9105</v>
      </c>
      <c r="D870" s="23" t="s">
        <v>9105</v>
      </c>
      <c r="E870" s="23">
        <v>3</v>
      </c>
    </row>
    <row r="871" spans="1:5" x14ac:dyDescent="0.25">
      <c r="A871" s="24">
        <v>444</v>
      </c>
      <c r="B871" s="24" t="s">
        <v>9102</v>
      </c>
      <c r="C871" s="23" t="s">
        <v>9106</v>
      </c>
      <c r="D871" s="23" t="s">
        <v>9106</v>
      </c>
      <c r="E871" s="23">
        <v>3</v>
      </c>
    </row>
    <row r="872" spans="1:5" x14ac:dyDescent="0.25">
      <c r="A872" s="24">
        <v>445</v>
      </c>
      <c r="B872" s="24" t="s">
        <v>9102</v>
      </c>
      <c r="C872" s="23" t="s">
        <v>9107</v>
      </c>
      <c r="D872" s="23" t="s">
        <v>9107</v>
      </c>
      <c r="E872" s="23">
        <v>3</v>
      </c>
    </row>
    <row r="873" spans="1:5" x14ac:dyDescent="0.25">
      <c r="A873" s="24">
        <v>651</v>
      </c>
      <c r="B873" s="24" t="s">
        <v>9108</v>
      </c>
      <c r="C873" s="24" t="s">
        <v>9109</v>
      </c>
      <c r="D873" s="25" t="s">
        <v>9110</v>
      </c>
      <c r="E873" s="23">
        <v>3</v>
      </c>
    </row>
    <row r="874" spans="1:5" x14ac:dyDescent="0.25">
      <c r="A874" s="24">
        <v>651</v>
      </c>
      <c r="B874" s="24" t="s">
        <v>9108</v>
      </c>
      <c r="C874" s="24" t="s">
        <v>9109</v>
      </c>
      <c r="D874" s="23" t="s">
        <v>9111</v>
      </c>
      <c r="E874" s="23">
        <v>3</v>
      </c>
    </row>
    <row r="875" spans="1:5" x14ac:dyDescent="0.25">
      <c r="A875" s="24">
        <v>651</v>
      </c>
      <c r="B875" s="24" t="s">
        <v>9108</v>
      </c>
      <c r="C875" s="24" t="s">
        <v>9109</v>
      </c>
      <c r="D875" s="23" t="s">
        <v>9113</v>
      </c>
      <c r="E875" s="23">
        <v>3</v>
      </c>
    </row>
    <row r="876" spans="1:5" x14ac:dyDescent="0.25">
      <c r="A876" s="24">
        <v>651</v>
      </c>
      <c r="B876" s="24" t="s">
        <v>9108</v>
      </c>
      <c r="C876" s="24" t="s">
        <v>9109</v>
      </c>
      <c r="D876" s="23" t="s">
        <v>9114</v>
      </c>
      <c r="E876" s="23">
        <v>3</v>
      </c>
    </row>
    <row r="877" spans="1:5" x14ac:dyDescent="0.25">
      <c r="A877" s="24">
        <v>446</v>
      </c>
      <c r="B877" s="24" t="s">
        <v>9108</v>
      </c>
      <c r="C877" s="25" t="s">
        <v>9110</v>
      </c>
      <c r="D877" s="25" t="s">
        <v>9110</v>
      </c>
      <c r="E877" s="23">
        <v>3</v>
      </c>
    </row>
    <row r="878" spans="1:5" x14ac:dyDescent="0.25">
      <c r="A878" s="24">
        <v>447</v>
      </c>
      <c r="B878" s="24" t="s">
        <v>9108</v>
      </c>
      <c r="C878" s="23" t="s">
        <v>9111</v>
      </c>
      <c r="D878" s="23" t="s">
        <v>9111</v>
      </c>
      <c r="E878" s="23">
        <v>3</v>
      </c>
    </row>
    <row r="879" spans="1:5" x14ac:dyDescent="0.25">
      <c r="A879" s="24">
        <v>448</v>
      </c>
      <c r="B879" s="24" t="s">
        <v>9108</v>
      </c>
      <c r="C879" s="23" t="s">
        <v>9113</v>
      </c>
      <c r="D879" s="23" t="s">
        <v>9113</v>
      </c>
      <c r="E879" s="23">
        <v>3</v>
      </c>
    </row>
    <row r="880" spans="1:5" x14ac:dyDescent="0.25">
      <c r="A880" s="24">
        <v>449</v>
      </c>
      <c r="B880" s="24" t="s">
        <v>9108</v>
      </c>
      <c r="C880" s="23" t="s">
        <v>9114</v>
      </c>
      <c r="D880" s="23" t="s">
        <v>9114</v>
      </c>
      <c r="E880" s="23">
        <v>3</v>
      </c>
    </row>
    <row r="881" spans="1:5" x14ac:dyDescent="0.25">
      <c r="A881" s="24">
        <v>652</v>
      </c>
      <c r="B881" s="24" t="s">
        <v>9116</v>
      </c>
      <c r="C881" s="24" t="s">
        <v>9117</v>
      </c>
      <c r="D881" s="25" t="s">
        <v>9118</v>
      </c>
      <c r="E881" s="23">
        <v>3</v>
      </c>
    </row>
    <row r="882" spans="1:5" x14ac:dyDescent="0.25">
      <c r="A882" s="24">
        <v>652</v>
      </c>
      <c r="B882" s="24" t="s">
        <v>9116</v>
      </c>
      <c r="C882" s="24" t="s">
        <v>9117</v>
      </c>
      <c r="D882" s="23" t="s">
        <v>9119</v>
      </c>
      <c r="E882" s="23">
        <v>3</v>
      </c>
    </row>
    <row r="883" spans="1:5" x14ac:dyDescent="0.25">
      <c r="A883" s="24">
        <v>652</v>
      </c>
      <c r="B883" s="24" t="s">
        <v>9116</v>
      </c>
      <c r="C883" s="24" t="s">
        <v>9117</v>
      </c>
      <c r="D883" s="23" t="s">
        <v>9121</v>
      </c>
      <c r="E883" s="23">
        <v>3</v>
      </c>
    </row>
    <row r="884" spans="1:5" x14ac:dyDescent="0.25">
      <c r="A884" s="24">
        <v>652</v>
      </c>
      <c r="B884" s="24" t="s">
        <v>9116</v>
      </c>
      <c r="C884" s="24" t="s">
        <v>9117</v>
      </c>
      <c r="D884" s="23" t="s">
        <v>9122</v>
      </c>
      <c r="E884" s="23">
        <v>3</v>
      </c>
    </row>
    <row r="885" spans="1:5" x14ac:dyDescent="0.25">
      <c r="A885" s="24">
        <v>652</v>
      </c>
      <c r="B885" s="24" t="s">
        <v>9116</v>
      </c>
      <c r="C885" s="24" t="s">
        <v>9117</v>
      </c>
      <c r="D885" s="23" t="s">
        <v>9123</v>
      </c>
      <c r="E885" s="23">
        <v>3</v>
      </c>
    </row>
    <row r="886" spans="1:5" x14ac:dyDescent="0.25">
      <c r="A886" s="24">
        <v>652</v>
      </c>
      <c r="B886" s="24" t="s">
        <v>9116</v>
      </c>
      <c r="C886" s="24" t="s">
        <v>9117</v>
      </c>
      <c r="D886" s="23" t="s">
        <v>9229</v>
      </c>
      <c r="E886" s="23">
        <v>3</v>
      </c>
    </row>
    <row r="887" spans="1:5" x14ac:dyDescent="0.25">
      <c r="A887" s="24">
        <v>450</v>
      </c>
      <c r="B887" s="24" t="s">
        <v>9116</v>
      </c>
      <c r="C887" s="25" t="s">
        <v>9118</v>
      </c>
      <c r="D887" s="25" t="s">
        <v>9118</v>
      </c>
      <c r="E887" s="23">
        <v>3</v>
      </c>
    </row>
    <row r="888" spans="1:5" x14ac:dyDescent="0.25">
      <c r="A888" s="24">
        <v>451</v>
      </c>
      <c r="B888" s="24" t="s">
        <v>9116</v>
      </c>
      <c r="C888" s="23" t="s">
        <v>9119</v>
      </c>
      <c r="D888" s="23" t="s">
        <v>9119</v>
      </c>
      <c r="E888" s="23">
        <v>3</v>
      </c>
    </row>
    <row r="889" spans="1:5" x14ac:dyDescent="0.25">
      <c r="A889" s="24">
        <v>452</v>
      </c>
      <c r="B889" s="24" t="s">
        <v>9116</v>
      </c>
      <c r="C889" s="23" t="s">
        <v>9121</v>
      </c>
      <c r="D889" s="23" t="s">
        <v>9121</v>
      </c>
      <c r="E889" s="23">
        <v>3</v>
      </c>
    </row>
    <row r="890" spans="1:5" x14ac:dyDescent="0.25">
      <c r="A890" s="24">
        <v>453</v>
      </c>
      <c r="B890" s="24" t="s">
        <v>9116</v>
      </c>
      <c r="C890" s="23" t="s">
        <v>9122</v>
      </c>
      <c r="D890" s="23" t="s">
        <v>9122</v>
      </c>
      <c r="E890" s="23">
        <v>3</v>
      </c>
    </row>
    <row r="891" spans="1:5" x14ac:dyDescent="0.25">
      <c r="A891" s="24">
        <v>454</v>
      </c>
      <c r="B891" s="24" t="s">
        <v>9116</v>
      </c>
      <c r="C891" s="23" t="s">
        <v>9123</v>
      </c>
      <c r="D891" s="23" t="s">
        <v>9123</v>
      </c>
      <c r="E891" s="23">
        <v>3</v>
      </c>
    </row>
    <row r="892" spans="1:5" x14ac:dyDescent="0.25">
      <c r="A892" s="24">
        <v>455</v>
      </c>
      <c r="B892" s="24" t="s">
        <v>9116</v>
      </c>
      <c r="C892" s="23" t="s">
        <v>9229</v>
      </c>
      <c r="D892" s="23" t="s">
        <v>9229</v>
      </c>
      <c r="E892" s="23">
        <v>3</v>
      </c>
    </row>
    <row r="893" spans="1:5" x14ac:dyDescent="0.25">
      <c r="A893" s="24">
        <v>653</v>
      </c>
      <c r="B893" s="24" t="s">
        <v>9124</v>
      </c>
      <c r="C893" s="24" t="s">
        <v>9125</v>
      </c>
      <c r="D893" s="25" t="s">
        <v>9126</v>
      </c>
      <c r="E893" s="23">
        <v>3</v>
      </c>
    </row>
    <row r="894" spans="1:5" x14ac:dyDescent="0.25">
      <c r="A894" s="24">
        <v>653</v>
      </c>
      <c r="B894" s="24" t="s">
        <v>9124</v>
      </c>
      <c r="C894" s="24" t="s">
        <v>9125</v>
      </c>
      <c r="D894" s="23" t="s">
        <v>9128</v>
      </c>
      <c r="E894" s="23">
        <v>3</v>
      </c>
    </row>
    <row r="895" spans="1:5" x14ac:dyDescent="0.25">
      <c r="A895" s="24">
        <v>653</v>
      </c>
      <c r="B895" s="24" t="s">
        <v>9124</v>
      </c>
      <c r="C895" s="24" t="s">
        <v>9125</v>
      </c>
      <c r="D895" s="23" t="s">
        <v>9130</v>
      </c>
      <c r="E895" s="23">
        <v>3</v>
      </c>
    </row>
    <row r="896" spans="1:5" x14ac:dyDescent="0.25">
      <c r="A896" s="24">
        <v>653</v>
      </c>
      <c r="B896" s="24" t="s">
        <v>9124</v>
      </c>
      <c r="C896" s="24" t="s">
        <v>9125</v>
      </c>
      <c r="D896" s="23" t="s">
        <v>9131</v>
      </c>
      <c r="E896" s="23">
        <v>3</v>
      </c>
    </row>
    <row r="897" spans="1:5" x14ac:dyDescent="0.25">
      <c r="A897" s="24">
        <v>653</v>
      </c>
      <c r="B897" s="24" t="s">
        <v>9124</v>
      </c>
      <c r="C897" s="24" t="s">
        <v>9125</v>
      </c>
      <c r="D897" s="23" t="s">
        <v>9132</v>
      </c>
      <c r="E897" s="23">
        <v>3</v>
      </c>
    </row>
    <row r="898" spans="1:5" x14ac:dyDescent="0.25">
      <c r="A898" s="24">
        <v>653</v>
      </c>
      <c r="B898" s="24" t="s">
        <v>9124</v>
      </c>
      <c r="C898" s="24" t="s">
        <v>9125</v>
      </c>
      <c r="D898" s="23" t="s">
        <v>9133</v>
      </c>
      <c r="E898" s="23">
        <v>3</v>
      </c>
    </row>
    <row r="899" spans="1:5" x14ac:dyDescent="0.25">
      <c r="A899" s="24">
        <v>653</v>
      </c>
      <c r="B899" s="24" t="s">
        <v>9124</v>
      </c>
      <c r="C899" s="24" t="s">
        <v>9125</v>
      </c>
      <c r="D899" s="23" t="s">
        <v>9134</v>
      </c>
      <c r="E899" s="23">
        <v>3</v>
      </c>
    </row>
    <row r="900" spans="1:5" x14ac:dyDescent="0.25">
      <c r="A900" s="24">
        <v>653</v>
      </c>
      <c r="B900" s="24" t="s">
        <v>9124</v>
      </c>
      <c r="C900" s="24" t="s">
        <v>9125</v>
      </c>
      <c r="D900" s="23" t="s">
        <v>9135</v>
      </c>
      <c r="E900" s="23">
        <v>3</v>
      </c>
    </row>
    <row r="901" spans="1:5" x14ac:dyDescent="0.25">
      <c r="A901" s="24">
        <v>653</v>
      </c>
      <c r="B901" s="24" t="s">
        <v>9124</v>
      </c>
      <c r="C901" s="24" t="s">
        <v>9125</v>
      </c>
      <c r="D901" s="23" t="s">
        <v>9136</v>
      </c>
      <c r="E901" s="23">
        <v>3</v>
      </c>
    </row>
    <row r="902" spans="1:5" x14ac:dyDescent="0.25">
      <c r="A902" s="24">
        <v>456</v>
      </c>
      <c r="B902" s="24" t="s">
        <v>9124</v>
      </c>
      <c r="C902" s="25" t="s">
        <v>9126</v>
      </c>
      <c r="D902" s="25" t="s">
        <v>9126</v>
      </c>
      <c r="E902" s="23">
        <v>3</v>
      </c>
    </row>
    <row r="903" spans="1:5" x14ac:dyDescent="0.25">
      <c r="A903" s="24">
        <v>457</v>
      </c>
      <c r="B903" s="24" t="s">
        <v>9124</v>
      </c>
      <c r="C903" s="23" t="s">
        <v>9128</v>
      </c>
      <c r="D903" s="23" t="s">
        <v>9128</v>
      </c>
      <c r="E903" s="23">
        <v>3</v>
      </c>
    </row>
    <row r="904" spans="1:5" x14ac:dyDescent="0.25">
      <c r="A904" s="24">
        <v>458</v>
      </c>
      <c r="B904" s="24" t="s">
        <v>9124</v>
      </c>
      <c r="C904" s="23" t="s">
        <v>9130</v>
      </c>
      <c r="D904" s="23" t="s">
        <v>9130</v>
      </c>
      <c r="E904" s="23">
        <v>3</v>
      </c>
    </row>
    <row r="905" spans="1:5" x14ac:dyDescent="0.25">
      <c r="A905" s="24">
        <v>459</v>
      </c>
      <c r="B905" s="24" t="s">
        <v>9124</v>
      </c>
      <c r="C905" s="23" t="s">
        <v>9131</v>
      </c>
      <c r="D905" s="23" t="s">
        <v>9131</v>
      </c>
      <c r="E905" s="23">
        <v>3</v>
      </c>
    </row>
    <row r="906" spans="1:5" x14ac:dyDescent="0.25">
      <c r="A906" s="24">
        <v>460</v>
      </c>
      <c r="B906" s="24" t="s">
        <v>9124</v>
      </c>
      <c r="C906" s="23" t="s">
        <v>9132</v>
      </c>
      <c r="D906" s="23" t="s">
        <v>9132</v>
      </c>
      <c r="E906" s="23">
        <v>3</v>
      </c>
    </row>
    <row r="907" spans="1:5" x14ac:dyDescent="0.25">
      <c r="A907" s="24">
        <v>461</v>
      </c>
      <c r="B907" s="24" t="s">
        <v>9124</v>
      </c>
      <c r="C907" s="23" t="s">
        <v>9133</v>
      </c>
      <c r="D907" s="23" t="s">
        <v>9133</v>
      </c>
      <c r="E907" s="23">
        <v>3</v>
      </c>
    </row>
    <row r="908" spans="1:5" x14ac:dyDescent="0.25">
      <c r="A908" s="24">
        <v>462</v>
      </c>
      <c r="B908" s="24" t="s">
        <v>9124</v>
      </c>
      <c r="C908" s="23" t="s">
        <v>9134</v>
      </c>
      <c r="D908" s="23" t="s">
        <v>9134</v>
      </c>
      <c r="E908" s="23">
        <v>3</v>
      </c>
    </row>
    <row r="909" spans="1:5" x14ac:dyDescent="0.25">
      <c r="A909" s="24">
        <v>463</v>
      </c>
      <c r="B909" s="24" t="s">
        <v>9124</v>
      </c>
      <c r="C909" s="23" t="s">
        <v>9135</v>
      </c>
      <c r="D909" s="23" t="s">
        <v>9135</v>
      </c>
      <c r="E909" s="23">
        <v>3</v>
      </c>
    </row>
    <row r="910" spans="1:5" x14ac:dyDescent="0.25">
      <c r="A910" s="24">
        <v>464</v>
      </c>
      <c r="B910" s="24" t="s">
        <v>9124</v>
      </c>
      <c r="C910" s="23" t="s">
        <v>9136</v>
      </c>
      <c r="D910" s="23" t="s">
        <v>9136</v>
      </c>
      <c r="E910" s="23">
        <v>3</v>
      </c>
    </row>
    <row r="911" spans="1:5" x14ac:dyDescent="0.25">
      <c r="A911" s="24">
        <v>465</v>
      </c>
      <c r="B911" s="24" t="s">
        <v>9139</v>
      </c>
      <c r="C911" s="24" t="s">
        <v>9140</v>
      </c>
      <c r="D911" s="24" t="s">
        <v>9140</v>
      </c>
      <c r="E911" s="23">
        <v>3</v>
      </c>
    </row>
    <row r="912" spans="1:5" x14ac:dyDescent="0.25">
      <c r="A912" s="24">
        <v>466</v>
      </c>
      <c r="B912" s="24" t="s">
        <v>9144</v>
      </c>
      <c r="C912" s="24" t="s">
        <v>9145</v>
      </c>
      <c r="D912" s="25" t="s">
        <v>9146</v>
      </c>
      <c r="E912" s="23">
        <v>3</v>
      </c>
    </row>
    <row r="913" spans="1:5" x14ac:dyDescent="0.25">
      <c r="A913" s="24">
        <v>467</v>
      </c>
      <c r="B913" s="24" t="s">
        <v>9147</v>
      </c>
      <c r="C913" s="24" t="s">
        <v>9148</v>
      </c>
      <c r="D913" s="24" t="s">
        <v>9148</v>
      </c>
      <c r="E913" s="23">
        <v>3</v>
      </c>
    </row>
    <row r="914" spans="1:5" x14ac:dyDescent="0.25">
      <c r="A914" s="24">
        <v>468</v>
      </c>
      <c r="B914" s="24" t="s">
        <v>9150</v>
      </c>
      <c r="C914" s="24" t="s">
        <v>9151</v>
      </c>
      <c r="D914" s="25" t="s">
        <v>9152</v>
      </c>
      <c r="E914" s="23">
        <v>3</v>
      </c>
    </row>
    <row r="915" spans="1:5" x14ac:dyDescent="0.25">
      <c r="A915" s="24">
        <v>468</v>
      </c>
      <c r="B915" s="24" t="s">
        <v>9150</v>
      </c>
      <c r="C915" s="24" t="s">
        <v>9151</v>
      </c>
      <c r="D915" s="23" t="s">
        <v>9153</v>
      </c>
      <c r="E915" s="23">
        <v>3</v>
      </c>
    </row>
    <row r="916" spans="1:5" x14ac:dyDescent="0.25">
      <c r="A916" s="24">
        <v>469</v>
      </c>
      <c r="B916" s="24" t="s">
        <v>9150</v>
      </c>
      <c r="C916" s="23" t="s">
        <v>9153</v>
      </c>
      <c r="D916" s="23" t="s">
        <v>9153</v>
      </c>
      <c r="E916" s="23">
        <v>3</v>
      </c>
    </row>
    <row r="917" spans="1:5" x14ac:dyDescent="0.25">
      <c r="A917" s="24">
        <v>654</v>
      </c>
      <c r="B917" s="24" t="s">
        <v>9154</v>
      </c>
      <c r="C917" s="24" t="s">
        <v>9155</v>
      </c>
      <c r="D917" s="25" t="s">
        <v>9156</v>
      </c>
      <c r="E917" s="23">
        <v>3</v>
      </c>
    </row>
    <row r="918" spans="1:5" x14ac:dyDescent="0.25">
      <c r="A918" s="24">
        <v>654</v>
      </c>
      <c r="B918" s="24" t="s">
        <v>9154</v>
      </c>
      <c r="C918" s="24" t="s">
        <v>9155</v>
      </c>
      <c r="D918" s="23" t="s">
        <v>9159</v>
      </c>
      <c r="E918" s="23">
        <v>3</v>
      </c>
    </row>
    <row r="919" spans="1:5" x14ac:dyDescent="0.25">
      <c r="A919" s="24">
        <v>654</v>
      </c>
      <c r="B919" s="24" t="s">
        <v>9154</v>
      </c>
      <c r="C919" s="24" t="s">
        <v>9155</v>
      </c>
      <c r="D919" s="23" t="s">
        <v>9160</v>
      </c>
      <c r="E919" s="23">
        <v>3</v>
      </c>
    </row>
    <row r="920" spans="1:5" x14ac:dyDescent="0.25">
      <c r="A920" s="24">
        <v>654</v>
      </c>
      <c r="B920" s="24" t="s">
        <v>9154</v>
      </c>
      <c r="C920" s="24" t="s">
        <v>9155</v>
      </c>
      <c r="D920" s="23" t="s">
        <v>9161</v>
      </c>
      <c r="E920" s="23">
        <v>3</v>
      </c>
    </row>
    <row r="921" spans="1:5" x14ac:dyDescent="0.25">
      <c r="A921" s="24">
        <v>654</v>
      </c>
      <c r="B921" s="24" t="s">
        <v>9154</v>
      </c>
      <c r="C921" s="24" t="s">
        <v>9155</v>
      </c>
      <c r="D921" s="23" t="s">
        <v>9162</v>
      </c>
      <c r="E921" s="23">
        <v>3</v>
      </c>
    </row>
    <row r="922" spans="1:5" x14ac:dyDescent="0.25">
      <c r="A922" s="24">
        <v>654</v>
      </c>
      <c r="B922" s="24" t="s">
        <v>9154</v>
      </c>
      <c r="C922" s="24" t="s">
        <v>9155</v>
      </c>
      <c r="D922" s="23" t="s">
        <v>9163</v>
      </c>
      <c r="E922" s="23">
        <v>3</v>
      </c>
    </row>
    <row r="923" spans="1:5" x14ac:dyDescent="0.25">
      <c r="A923" s="24">
        <v>654</v>
      </c>
      <c r="B923" s="24" t="s">
        <v>9154</v>
      </c>
      <c r="C923" s="24" t="s">
        <v>9155</v>
      </c>
      <c r="D923" s="23" t="s">
        <v>9164</v>
      </c>
      <c r="E923" s="23">
        <v>3</v>
      </c>
    </row>
    <row r="924" spans="1:5" x14ac:dyDescent="0.25">
      <c r="A924" s="24">
        <v>654</v>
      </c>
      <c r="B924" s="24" t="s">
        <v>9154</v>
      </c>
      <c r="C924" s="24" t="s">
        <v>9155</v>
      </c>
      <c r="D924" s="23" t="s">
        <v>9165</v>
      </c>
      <c r="E924" s="23">
        <v>3</v>
      </c>
    </row>
    <row r="925" spans="1:5" x14ac:dyDescent="0.25">
      <c r="A925" s="24">
        <v>470</v>
      </c>
      <c r="B925" s="24" t="s">
        <v>9154</v>
      </c>
      <c r="C925" s="25" t="s">
        <v>9156</v>
      </c>
      <c r="D925" s="25" t="s">
        <v>9156</v>
      </c>
      <c r="E925" s="23">
        <v>3</v>
      </c>
    </row>
    <row r="926" spans="1:5" x14ac:dyDescent="0.25">
      <c r="A926" s="24">
        <v>471</v>
      </c>
      <c r="B926" s="24" t="s">
        <v>9154</v>
      </c>
      <c r="C926" s="23" t="s">
        <v>9159</v>
      </c>
      <c r="D926" s="23" t="s">
        <v>9159</v>
      </c>
      <c r="E926" s="23">
        <v>3</v>
      </c>
    </row>
    <row r="927" spans="1:5" x14ac:dyDescent="0.25">
      <c r="A927" s="24">
        <v>472</v>
      </c>
      <c r="B927" s="24" t="s">
        <v>9154</v>
      </c>
      <c r="C927" s="23" t="s">
        <v>9160</v>
      </c>
      <c r="D927" s="23" t="s">
        <v>9160</v>
      </c>
      <c r="E927" s="23">
        <v>3</v>
      </c>
    </row>
    <row r="928" spans="1:5" x14ac:dyDescent="0.25">
      <c r="A928" s="24">
        <v>473</v>
      </c>
      <c r="B928" s="24" t="s">
        <v>9154</v>
      </c>
      <c r="C928" s="23" t="s">
        <v>9161</v>
      </c>
      <c r="D928" s="23" t="s">
        <v>9161</v>
      </c>
      <c r="E928" s="23">
        <v>3</v>
      </c>
    </row>
    <row r="929" spans="1:5" x14ac:dyDescent="0.25">
      <c r="A929" s="24">
        <v>474</v>
      </c>
      <c r="B929" s="24" t="s">
        <v>9154</v>
      </c>
      <c r="C929" s="23" t="s">
        <v>9162</v>
      </c>
      <c r="D929" s="23" t="s">
        <v>9162</v>
      </c>
      <c r="E929" s="23">
        <v>3</v>
      </c>
    </row>
    <row r="930" spans="1:5" x14ac:dyDescent="0.25">
      <c r="A930" s="24">
        <v>475</v>
      </c>
      <c r="B930" s="24" t="s">
        <v>9154</v>
      </c>
      <c r="C930" s="23" t="s">
        <v>9163</v>
      </c>
      <c r="D930" s="23" t="s">
        <v>9163</v>
      </c>
      <c r="E930" s="23">
        <v>3</v>
      </c>
    </row>
    <row r="931" spans="1:5" x14ac:dyDescent="0.25">
      <c r="A931" s="24">
        <v>476</v>
      </c>
      <c r="B931" s="24" t="s">
        <v>9154</v>
      </c>
      <c r="C931" s="23" t="s">
        <v>9164</v>
      </c>
      <c r="D931" s="23" t="s">
        <v>9164</v>
      </c>
      <c r="E931" s="23">
        <v>3</v>
      </c>
    </row>
    <row r="932" spans="1:5" x14ac:dyDescent="0.25">
      <c r="A932" s="24">
        <v>477</v>
      </c>
      <c r="B932" s="24" t="s">
        <v>9154</v>
      </c>
      <c r="C932" s="23" t="s">
        <v>9165</v>
      </c>
      <c r="D932" s="23" t="s">
        <v>9165</v>
      </c>
      <c r="E932" s="23">
        <v>3</v>
      </c>
    </row>
    <row r="933" spans="1:5" x14ac:dyDescent="0.25">
      <c r="A933" s="24">
        <v>655</v>
      </c>
      <c r="B933" s="24" t="s">
        <v>9167</v>
      </c>
      <c r="C933" s="24" t="s">
        <v>9168</v>
      </c>
      <c r="D933" s="25" t="s">
        <v>9169</v>
      </c>
      <c r="E933" s="23">
        <v>3</v>
      </c>
    </row>
    <row r="934" spans="1:5" x14ac:dyDescent="0.25">
      <c r="A934" s="24">
        <v>655</v>
      </c>
      <c r="B934" s="24" t="s">
        <v>9167</v>
      </c>
      <c r="C934" s="24" t="s">
        <v>9168</v>
      </c>
      <c r="D934" s="23" t="s">
        <v>9170</v>
      </c>
      <c r="E934" s="23">
        <v>3</v>
      </c>
    </row>
    <row r="935" spans="1:5" x14ac:dyDescent="0.25">
      <c r="A935" s="24">
        <v>655</v>
      </c>
      <c r="B935" s="24" t="s">
        <v>9167</v>
      </c>
      <c r="C935" s="24" t="s">
        <v>9168</v>
      </c>
      <c r="D935" s="23" t="s">
        <v>9171</v>
      </c>
      <c r="E935" s="23">
        <v>3</v>
      </c>
    </row>
    <row r="936" spans="1:5" x14ac:dyDescent="0.25">
      <c r="A936" s="24">
        <v>655</v>
      </c>
      <c r="B936" s="24" t="s">
        <v>9167</v>
      </c>
      <c r="C936" s="24" t="s">
        <v>9168</v>
      </c>
      <c r="D936" s="23" t="s">
        <v>9230</v>
      </c>
      <c r="E936" s="23">
        <v>3</v>
      </c>
    </row>
    <row r="937" spans="1:5" x14ac:dyDescent="0.25">
      <c r="A937" s="24">
        <v>655</v>
      </c>
      <c r="B937" s="24" t="s">
        <v>9167</v>
      </c>
      <c r="C937" s="24" t="s">
        <v>9168</v>
      </c>
      <c r="D937" s="23" t="s">
        <v>9173</v>
      </c>
      <c r="E937" s="23">
        <v>3</v>
      </c>
    </row>
    <row r="938" spans="1:5" x14ac:dyDescent="0.25">
      <c r="A938" s="24">
        <v>655</v>
      </c>
      <c r="B938" s="24" t="s">
        <v>9167</v>
      </c>
      <c r="C938" s="24" t="s">
        <v>9168</v>
      </c>
      <c r="D938" s="23" t="s">
        <v>9175</v>
      </c>
      <c r="E938" s="23">
        <v>3</v>
      </c>
    </row>
    <row r="939" spans="1:5" x14ac:dyDescent="0.25">
      <c r="A939" s="24">
        <v>655</v>
      </c>
      <c r="B939" s="24" t="s">
        <v>9167</v>
      </c>
      <c r="C939" s="24" t="s">
        <v>9168</v>
      </c>
      <c r="D939" s="23" t="s">
        <v>9176</v>
      </c>
      <c r="E939" s="23">
        <v>3</v>
      </c>
    </row>
    <row r="940" spans="1:5" x14ac:dyDescent="0.25">
      <c r="A940" s="24">
        <v>655</v>
      </c>
      <c r="B940" s="24" t="s">
        <v>9167</v>
      </c>
      <c r="C940" s="24" t="s">
        <v>9168</v>
      </c>
      <c r="D940" s="23" t="s">
        <v>9231</v>
      </c>
      <c r="E940" s="23">
        <v>3</v>
      </c>
    </row>
    <row r="941" spans="1:5" x14ac:dyDescent="0.25">
      <c r="A941" s="24">
        <v>655</v>
      </c>
      <c r="B941" s="24" t="s">
        <v>9167</v>
      </c>
      <c r="C941" s="24" t="s">
        <v>9168</v>
      </c>
      <c r="D941" s="23" t="s">
        <v>9179</v>
      </c>
      <c r="E941" s="23">
        <v>3</v>
      </c>
    </row>
    <row r="942" spans="1:5" x14ac:dyDescent="0.25">
      <c r="A942" s="24">
        <v>655</v>
      </c>
      <c r="B942" s="24" t="s">
        <v>9167</v>
      </c>
      <c r="C942" s="24" t="s">
        <v>9168</v>
      </c>
      <c r="D942" s="23" t="s">
        <v>9180</v>
      </c>
      <c r="E942" s="23">
        <v>3</v>
      </c>
    </row>
    <row r="943" spans="1:5" x14ac:dyDescent="0.25">
      <c r="A943" s="24">
        <v>655</v>
      </c>
      <c r="B943" s="24" t="s">
        <v>9167</v>
      </c>
      <c r="C943" s="24" t="s">
        <v>9168</v>
      </c>
      <c r="D943" s="23" t="s">
        <v>9181</v>
      </c>
      <c r="E943" s="23">
        <v>3</v>
      </c>
    </row>
    <row r="944" spans="1:5" x14ac:dyDescent="0.25">
      <c r="A944" s="24">
        <v>655</v>
      </c>
      <c r="B944" s="24" t="s">
        <v>9167</v>
      </c>
      <c r="C944" s="24" t="s">
        <v>9168</v>
      </c>
      <c r="D944" s="23" t="s">
        <v>9182</v>
      </c>
      <c r="E944" s="23">
        <v>3</v>
      </c>
    </row>
    <row r="945" spans="1:5" x14ac:dyDescent="0.25">
      <c r="A945" s="24">
        <v>655</v>
      </c>
      <c r="B945" s="24" t="s">
        <v>9167</v>
      </c>
      <c r="C945" s="24" t="s">
        <v>9168</v>
      </c>
      <c r="D945" s="23" t="s">
        <v>9183</v>
      </c>
      <c r="E945" s="23">
        <v>3</v>
      </c>
    </row>
    <row r="946" spans="1:5" x14ac:dyDescent="0.25">
      <c r="A946" s="24">
        <v>655</v>
      </c>
      <c r="B946" s="24" t="s">
        <v>9167</v>
      </c>
      <c r="C946" s="24" t="s">
        <v>9168</v>
      </c>
      <c r="D946" s="23" t="s">
        <v>9184</v>
      </c>
      <c r="E946" s="23">
        <v>3</v>
      </c>
    </row>
    <row r="947" spans="1:5" x14ac:dyDescent="0.25">
      <c r="A947" s="24">
        <v>655</v>
      </c>
      <c r="B947" s="24" t="s">
        <v>9167</v>
      </c>
      <c r="C947" s="24" t="s">
        <v>9168</v>
      </c>
      <c r="D947" s="23" t="s">
        <v>9185</v>
      </c>
      <c r="E947" s="23">
        <v>3</v>
      </c>
    </row>
    <row r="948" spans="1:5" x14ac:dyDescent="0.25">
      <c r="A948" s="24">
        <v>655</v>
      </c>
      <c r="B948" s="24" t="s">
        <v>9167</v>
      </c>
      <c r="C948" s="24" t="s">
        <v>9168</v>
      </c>
      <c r="D948" s="23" t="s">
        <v>9186</v>
      </c>
      <c r="E948" s="23">
        <v>3</v>
      </c>
    </row>
    <row r="949" spans="1:5" x14ac:dyDescent="0.25">
      <c r="A949" s="24">
        <v>655</v>
      </c>
      <c r="B949" s="24" t="s">
        <v>9167</v>
      </c>
      <c r="C949" s="24" t="s">
        <v>9168</v>
      </c>
      <c r="D949" s="23" t="s">
        <v>9187</v>
      </c>
      <c r="E949" s="23">
        <v>3</v>
      </c>
    </row>
    <row r="950" spans="1:5" x14ac:dyDescent="0.25">
      <c r="A950" s="24">
        <v>478</v>
      </c>
      <c r="B950" s="24" t="s">
        <v>9167</v>
      </c>
      <c r="C950" s="25" t="s">
        <v>9169</v>
      </c>
      <c r="D950" s="25" t="s">
        <v>9169</v>
      </c>
      <c r="E950" s="23">
        <v>3</v>
      </c>
    </row>
    <row r="951" spans="1:5" x14ac:dyDescent="0.25">
      <c r="A951" s="24">
        <v>479</v>
      </c>
      <c r="B951" s="24" t="s">
        <v>9167</v>
      </c>
      <c r="C951" s="23" t="s">
        <v>9170</v>
      </c>
      <c r="D951" s="23" t="s">
        <v>9170</v>
      </c>
      <c r="E951" s="23">
        <v>3</v>
      </c>
    </row>
    <row r="952" spans="1:5" x14ac:dyDescent="0.25">
      <c r="A952" s="24">
        <v>480</v>
      </c>
      <c r="B952" s="24" t="s">
        <v>9167</v>
      </c>
      <c r="C952" s="23" t="s">
        <v>9171</v>
      </c>
      <c r="D952" s="23" t="s">
        <v>9171</v>
      </c>
      <c r="E952" s="23">
        <v>3</v>
      </c>
    </row>
    <row r="953" spans="1:5" x14ac:dyDescent="0.25">
      <c r="A953" s="24">
        <v>481</v>
      </c>
      <c r="B953" s="24" t="s">
        <v>9167</v>
      </c>
      <c r="C953" s="23" t="s">
        <v>9230</v>
      </c>
      <c r="D953" s="23" t="s">
        <v>9230</v>
      </c>
      <c r="E953" s="23">
        <v>3</v>
      </c>
    </row>
    <row r="954" spans="1:5" x14ac:dyDescent="0.25">
      <c r="A954" s="24">
        <v>482</v>
      </c>
      <c r="B954" s="24" t="s">
        <v>9167</v>
      </c>
      <c r="C954" s="23" t="s">
        <v>9173</v>
      </c>
      <c r="D954" s="23" t="s">
        <v>9173</v>
      </c>
      <c r="E954" s="23">
        <v>3</v>
      </c>
    </row>
    <row r="955" spans="1:5" x14ac:dyDescent="0.25">
      <c r="A955" s="24">
        <v>483</v>
      </c>
      <c r="B955" s="24" t="s">
        <v>9167</v>
      </c>
      <c r="C955" s="23" t="s">
        <v>9175</v>
      </c>
      <c r="D955" s="23" t="s">
        <v>9175</v>
      </c>
      <c r="E955" s="23">
        <v>3</v>
      </c>
    </row>
    <row r="956" spans="1:5" x14ac:dyDescent="0.25">
      <c r="A956" s="24">
        <v>484</v>
      </c>
      <c r="B956" s="24" t="s">
        <v>9167</v>
      </c>
      <c r="C956" s="23" t="s">
        <v>9176</v>
      </c>
      <c r="D956" s="23" t="s">
        <v>9176</v>
      </c>
      <c r="E956" s="23">
        <v>3</v>
      </c>
    </row>
    <row r="957" spans="1:5" x14ac:dyDescent="0.25">
      <c r="A957" s="24">
        <v>485</v>
      </c>
      <c r="B957" s="24" t="s">
        <v>9167</v>
      </c>
      <c r="C957" s="23" t="s">
        <v>9231</v>
      </c>
      <c r="D957" s="23" t="s">
        <v>9231</v>
      </c>
      <c r="E957" s="23">
        <v>3</v>
      </c>
    </row>
    <row r="958" spans="1:5" x14ac:dyDescent="0.25">
      <c r="A958" s="24">
        <v>486</v>
      </c>
      <c r="B958" s="24" t="s">
        <v>9167</v>
      </c>
      <c r="C958" s="23" t="s">
        <v>9179</v>
      </c>
      <c r="D958" s="23" t="s">
        <v>9179</v>
      </c>
      <c r="E958" s="23">
        <v>3</v>
      </c>
    </row>
    <row r="959" spans="1:5" x14ac:dyDescent="0.25">
      <c r="A959" s="24">
        <v>487</v>
      </c>
      <c r="B959" s="24" t="s">
        <v>9167</v>
      </c>
      <c r="C959" s="23" t="s">
        <v>9180</v>
      </c>
      <c r="D959" s="23" t="s">
        <v>9180</v>
      </c>
      <c r="E959" s="23">
        <v>3</v>
      </c>
    </row>
    <row r="960" spans="1:5" x14ac:dyDescent="0.25">
      <c r="A960" s="24">
        <v>488</v>
      </c>
      <c r="B960" s="24" t="s">
        <v>9167</v>
      </c>
      <c r="C960" s="23" t="s">
        <v>9181</v>
      </c>
      <c r="D960" s="23" t="s">
        <v>9181</v>
      </c>
      <c r="E960" s="23">
        <v>3</v>
      </c>
    </row>
    <row r="961" spans="1:5" x14ac:dyDescent="0.25">
      <c r="A961" s="24">
        <v>489</v>
      </c>
      <c r="B961" s="24" t="s">
        <v>9167</v>
      </c>
      <c r="C961" s="23" t="s">
        <v>9182</v>
      </c>
      <c r="D961" s="23" t="s">
        <v>9182</v>
      </c>
      <c r="E961" s="23">
        <v>3</v>
      </c>
    </row>
    <row r="962" spans="1:5" x14ac:dyDescent="0.25">
      <c r="A962" s="24">
        <v>490</v>
      </c>
      <c r="B962" s="24" t="s">
        <v>9167</v>
      </c>
      <c r="C962" s="23" t="s">
        <v>9183</v>
      </c>
      <c r="D962" s="23" t="s">
        <v>9183</v>
      </c>
      <c r="E962" s="23">
        <v>3</v>
      </c>
    </row>
    <row r="963" spans="1:5" x14ac:dyDescent="0.25">
      <c r="A963" s="24">
        <v>491</v>
      </c>
      <c r="B963" s="24" t="s">
        <v>9167</v>
      </c>
      <c r="C963" s="23" t="s">
        <v>9184</v>
      </c>
      <c r="D963" s="23" t="s">
        <v>9184</v>
      </c>
      <c r="E963" s="23">
        <v>3</v>
      </c>
    </row>
    <row r="964" spans="1:5" x14ac:dyDescent="0.25">
      <c r="A964" s="24">
        <v>492</v>
      </c>
      <c r="B964" s="24" t="s">
        <v>9167</v>
      </c>
      <c r="C964" s="23" t="s">
        <v>9185</v>
      </c>
      <c r="D964" s="23" t="s">
        <v>9185</v>
      </c>
      <c r="E964" s="23">
        <v>3</v>
      </c>
    </row>
    <row r="965" spans="1:5" x14ac:dyDescent="0.25">
      <c r="A965" s="24">
        <v>493</v>
      </c>
      <c r="B965" s="24" t="s">
        <v>9167</v>
      </c>
      <c r="C965" s="23" t="s">
        <v>9186</v>
      </c>
      <c r="D965" s="23" t="s">
        <v>9186</v>
      </c>
      <c r="E965" s="23">
        <v>3</v>
      </c>
    </row>
    <row r="966" spans="1:5" x14ac:dyDescent="0.25">
      <c r="A966" s="24">
        <v>494</v>
      </c>
      <c r="B966" s="24" t="s">
        <v>9167</v>
      </c>
      <c r="C966" s="23" t="s">
        <v>9187</v>
      </c>
      <c r="D966" s="23" t="s">
        <v>9187</v>
      </c>
      <c r="E966" s="23">
        <v>3</v>
      </c>
    </row>
    <row r="967" spans="1:5" x14ac:dyDescent="0.25">
      <c r="A967" s="24">
        <v>656</v>
      </c>
      <c r="B967" s="24" t="s">
        <v>9188</v>
      </c>
      <c r="C967" s="24" t="s">
        <v>9189</v>
      </c>
      <c r="D967" s="25" t="s">
        <v>9190</v>
      </c>
      <c r="E967" s="23">
        <v>3</v>
      </c>
    </row>
    <row r="968" spans="1:5" x14ac:dyDescent="0.25">
      <c r="A968" s="24">
        <v>656</v>
      </c>
      <c r="B968" s="24" t="s">
        <v>9188</v>
      </c>
      <c r="C968" s="24" t="s">
        <v>9189</v>
      </c>
      <c r="D968" s="23" t="s">
        <v>9191</v>
      </c>
      <c r="E968" s="23">
        <v>3</v>
      </c>
    </row>
    <row r="969" spans="1:5" x14ac:dyDescent="0.25">
      <c r="A969" s="24">
        <v>656</v>
      </c>
      <c r="B969" s="24" t="s">
        <v>9188</v>
      </c>
      <c r="C969" s="24" t="s">
        <v>9189</v>
      </c>
      <c r="D969" s="23" t="s">
        <v>9192</v>
      </c>
      <c r="E969" s="23">
        <v>3</v>
      </c>
    </row>
    <row r="970" spans="1:5" x14ac:dyDescent="0.25">
      <c r="A970" s="24">
        <v>656</v>
      </c>
      <c r="B970" s="24" t="s">
        <v>9188</v>
      </c>
      <c r="C970" s="24" t="s">
        <v>9189</v>
      </c>
      <c r="D970" s="23" t="s">
        <v>9193</v>
      </c>
      <c r="E970" s="23">
        <v>3</v>
      </c>
    </row>
    <row r="971" spans="1:5" x14ac:dyDescent="0.25">
      <c r="A971" s="24">
        <v>656</v>
      </c>
      <c r="B971" s="24" t="s">
        <v>9188</v>
      </c>
      <c r="C971" s="24" t="s">
        <v>9189</v>
      </c>
      <c r="D971" s="23" t="s">
        <v>9197</v>
      </c>
      <c r="E971" s="23">
        <v>3</v>
      </c>
    </row>
    <row r="972" spans="1:5" x14ac:dyDescent="0.25">
      <c r="A972" s="24">
        <v>656</v>
      </c>
      <c r="B972" s="24" t="s">
        <v>9188</v>
      </c>
      <c r="C972" s="24" t="s">
        <v>9189</v>
      </c>
      <c r="D972" s="23" t="s">
        <v>9198</v>
      </c>
      <c r="E972" s="23">
        <v>3</v>
      </c>
    </row>
    <row r="973" spans="1:5" x14ac:dyDescent="0.25">
      <c r="A973" s="24">
        <v>656</v>
      </c>
      <c r="B973" s="24" t="s">
        <v>9188</v>
      </c>
      <c r="C973" s="24" t="s">
        <v>9189</v>
      </c>
      <c r="D973" s="23" t="s">
        <v>9199</v>
      </c>
      <c r="E973" s="23">
        <v>3</v>
      </c>
    </row>
    <row r="974" spans="1:5" x14ac:dyDescent="0.25">
      <c r="A974" s="24">
        <v>656</v>
      </c>
      <c r="B974" s="24" t="s">
        <v>9188</v>
      </c>
      <c r="C974" s="24" t="s">
        <v>9189</v>
      </c>
      <c r="D974" s="23" t="s">
        <v>9200</v>
      </c>
      <c r="E974" s="23">
        <v>3</v>
      </c>
    </row>
    <row r="975" spans="1:5" x14ac:dyDescent="0.25">
      <c r="A975" s="24">
        <v>656</v>
      </c>
      <c r="B975" s="24" t="s">
        <v>9188</v>
      </c>
      <c r="C975" s="24" t="s">
        <v>9189</v>
      </c>
      <c r="D975" s="23" t="s">
        <v>9201</v>
      </c>
      <c r="E975" s="23">
        <v>3</v>
      </c>
    </row>
    <row r="976" spans="1:5" x14ac:dyDescent="0.25">
      <c r="A976" s="24">
        <v>656</v>
      </c>
      <c r="B976" s="24" t="s">
        <v>9188</v>
      </c>
      <c r="C976" s="24" t="s">
        <v>9189</v>
      </c>
      <c r="D976" s="23" t="s">
        <v>9202</v>
      </c>
      <c r="E976" s="23">
        <v>3</v>
      </c>
    </row>
    <row r="977" spans="1:5" x14ac:dyDescent="0.25">
      <c r="A977" s="24">
        <v>656</v>
      </c>
      <c r="B977" s="24" t="s">
        <v>9188</v>
      </c>
      <c r="C977" s="24" t="s">
        <v>9189</v>
      </c>
      <c r="D977" s="23" t="s">
        <v>9203</v>
      </c>
      <c r="E977" s="23">
        <v>3</v>
      </c>
    </row>
    <row r="978" spans="1:5" x14ac:dyDescent="0.25">
      <c r="A978" s="24">
        <v>656</v>
      </c>
      <c r="B978" s="24" t="s">
        <v>9188</v>
      </c>
      <c r="C978" s="24" t="s">
        <v>9189</v>
      </c>
      <c r="D978" s="23" t="s">
        <v>9204</v>
      </c>
      <c r="E978" s="23">
        <v>3</v>
      </c>
    </row>
    <row r="979" spans="1:5" x14ac:dyDescent="0.25">
      <c r="A979" s="24">
        <v>656</v>
      </c>
      <c r="B979" s="24" t="s">
        <v>9188</v>
      </c>
      <c r="C979" s="24" t="s">
        <v>9189</v>
      </c>
      <c r="D979" s="23" t="s">
        <v>9205</v>
      </c>
      <c r="E979" s="23">
        <v>3</v>
      </c>
    </row>
    <row r="980" spans="1:5" x14ac:dyDescent="0.25">
      <c r="A980" s="24">
        <v>656</v>
      </c>
      <c r="B980" s="24" t="s">
        <v>9188</v>
      </c>
      <c r="C980" s="24" t="s">
        <v>9189</v>
      </c>
      <c r="D980" s="23" t="s">
        <v>9232</v>
      </c>
      <c r="E980" s="23">
        <v>3</v>
      </c>
    </row>
    <row r="981" spans="1:5" x14ac:dyDescent="0.25">
      <c r="A981" s="24">
        <v>656</v>
      </c>
      <c r="B981" s="24" t="s">
        <v>9188</v>
      </c>
      <c r="C981" s="24" t="s">
        <v>9189</v>
      </c>
      <c r="D981" s="23" t="s">
        <v>9206</v>
      </c>
      <c r="E981" s="23">
        <v>3</v>
      </c>
    </row>
    <row r="982" spans="1:5" x14ac:dyDescent="0.25">
      <c r="A982" s="24">
        <v>656</v>
      </c>
      <c r="B982" s="24" t="s">
        <v>9188</v>
      </c>
      <c r="C982" s="24" t="s">
        <v>9189</v>
      </c>
      <c r="D982" s="23" t="s">
        <v>9209</v>
      </c>
      <c r="E982" s="23">
        <v>3</v>
      </c>
    </row>
    <row r="983" spans="1:5" x14ac:dyDescent="0.25">
      <c r="A983" s="24">
        <v>656</v>
      </c>
      <c r="B983" s="24" t="s">
        <v>9188</v>
      </c>
      <c r="C983" s="24" t="s">
        <v>9189</v>
      </c>
      <c r="D983" s="23" t="s">
        <v>9233</v>
      </c>
      <c r="E983" s="23">
        <v>3</v>
      </c>
    </row>
    <row r="984" spans="1:5" x14ac:dyDescent="0.25">
      <c r="A984" s="24">
        <v>495</v>
      </c>
      <c r="B984" s="24" t="s">
        <v>9188</v>
      </c>
      <c r="C984" s="25" t="s">
        <v>9190</v>
      </c>
      <c r="D984" s="25" t="s">
        <v>9190</v>
      </c>
      <c r="E984" s="23">
        <v>3</v>
      </c>
    </row>
    <row r="985" spans="1:5" x14ac:dyDescent="0.25">
      <c r="A985" s="24">
        <v>496</v>
      </c>
      <c r="B985" s="24" t="s">
        <v>9188</v>
      </c>
      <c r="C985" s="23" t="s">
        <v>9191</v>
      </c>
      <c r="D985" s="23" t="s">
        <v>9191</v>
      </c>
      <c r="E985" s="23">
        <v>3</v>
      </c>
    </row>
    <row r="986" spans="1:5" x14ac:dyDescent="0.25">
      <c r="A986" s="24">
        <v>497</v>
      </c>
      <c r="B986" s="24" t="s">
        <v>9188</v>
      </c>
      <c r="C986" s="23" t="s">
        <v>9192</v>
      </c>
      <c r="D986" s="23" t="s">
        <v>9192</v>
      </c>
      <c r="E986" s="23">
        <v>3</v>
      </c>
    </row>
    <row r="987" spans="1:5" x14ac:dyDescent="0.25">
      <c r="A987" s="24">
        <v>498</v>
      </c>
      <c r="B987" s="24" t="s">
        <v>9188</v>
      </c>
      <c r="C987" s="23" t="s">
        <v>9193</v>
      </c>
      <c r="D987" s="23" t="s">
        <v>9193</v>
      </c>
      <c r="E987" s="23">
        <v>3</v>
      </c>
    </row>
    <row r="988" spans="1:5" x14ac:dyDescent="0.25">
      <c r="A988" s="24">
        <v>499</v>
      </c>
      <c r="B988" s="24" t="s">
        <v>9188</v>
      </c>
      <c r="C988" s="23" t="s">
        <v>9197</v>
      </c>
      <c r="D988" s="23" t="s">
        <v>9197</v>
      </c>
      <c r="E988" s="23">
        <v>3</v>
      </c>
    </row>
    <row r="989" spans="1:5" x14ac:dyDescent="0.25">
      <c r="A989" s="24">
        <v>500</v>
      </c>
      <c r="B989" s="24" t="s">
        <v>9188</v>
      </c>
      <c r="C989" s="23" t="s">
        <v>9198</v>
      </c>
      <c r="D989" s="23" t="s">
        <v>9198</v>
      </c>
      <c r="E989" s="23">
        <v>3</v>
      </c>
    </row>
    <row r="990" spans="1:5" x14ac:dyDescent="0.25">
      <c r="A990" s="24">
        <v>501</v>
      </c>
      <c r="B990" s="24" t="s">
        <v>9188</v>
      </c>
      <c r="C990" s="23" t="s">
        <v>9199</v>
      </c>
      <c r="D990" s="23" t="s">
        <v>9199</v>
      </c>
      <c r="E990" s="23">
        <v>3</v>
      </c>
    </row>
    <row r="991" spans="1:5" x14ac:dyDescent="0.25">
      <c r="A991" s="24">
        <v>502</v>
      </c>
      <c r="B991" s="24" t="s">
        <v>9188</v>
      </c>
      <c r="C991" s="23" t="s">
        <v>9200</v>
      </c>
      <c r="D991" s="23" t="s">
        <v>9200</v>
      </c>
      <c r="E991" s="23">
        <v>3</v>
      </c>
    </row>
    <row r="992" spans="1:5" x14ac:dyDescent="0.25">
      <c r="A992" s="24">
        <v>503</v>
      </c>
      <c r="B992" s="24" t="s">
        <v>9188</v>
      </c>
      <c r="C992" s="23" t="s">
        <v>9201</v>
      </c>
      <c r="D992" s="23" t="s">
        <v>9201</v>
      </c>
      <c r="E992" s="23">
        <v>3</v>
      </c>
    </row>
    <row r="993" spans="1:5" x14ac:dyDescent="0.25">
      <c r="A993" s="24">
        <v>504</v>
      </c>
      <c r="B993" s="24" t="s">
        <v>9188</v>
      </c>
      <c r="C993" s="23" t="s">
        <v>9202</v>
      </c>
      <c r="D993" s="23" t="s">
        <v>9202</v>
      </c>
      <c r="E993" s="23">
        <v>3</v>
      </c>
    </row>
    <row r="994" spans="1:5" x14ac:dyDescent="0.25">
      <c r="A994" s="24">
        <v>505</v>
      </c>
      <c r="B994" s="24" t="s">
        <v>9188</v>
      </c>
      <c r="C994" s="23" t="s">
        <v>9203</v>
      </c>
      <c r="D994" s="23" t="s">
        <v>9203</v>
      </c>
      <c r="E994" s="23">
        <v>3</v>
      </c>
    </row>
    <row r="995" spans="1:5" x14ac:dyDescent="0.25">
      <c r="A995" s="24">
        <v>506</v>
      </c>
      <c r="B995" s="24" t="s">
        <v>9188</v>
      </c>
      <c r="C995" s="23" t="s">
        <v>9204</v>
      </c>
      <c r="D995" s="23" t="s">
        <v>9204</v>
      </c>
      <c r="E995" s="23">
        <v>3</v>
      </c>
    </row>
    <row r="996" spans="1:5" x14ac:dyDescent="0.25">
      <c r="A996" s="24">
        <v>507</v>
      </c>
      <c r="B996" s="24" t="s">
        <v>9188</v>
      </c>
      <c r="C996" s="23" t="s">
        <v>9205</v>
      </c>
      <c r="D996" s="23" t="s">
        <v>9205</v>
      </c>
      <c r="E996" s="23">
        <v>3</v>
      </c>
    </row>
    <row r="997" spans="1:5" x14ac:dyDescent="0.25">
      <c r="A997" s="24">
        <v>508</v>
      </c>
      <c r="B997" s="24" t="s">
        <v>9188</v>
      </c>
      <c r="C997" s="23" t="s">
        <v>9232</v>
      </c>
      <c r="D997" s="23" t="s">
        <v>9232</v>
      </c>
      <c r="E997" s="23">
        <v>3</v>
      </c>
    </row>
    <row r="998" spans="1:5" x14ac:dyDescent="0.25">
      <c r="A998" s="24">
        <v>509</v>
      </c>
      <c r="B998" s="24" t="s">
        <v>9188</v>
      </c>
      <c r="C998" s="23" t="s">
        <v>9206</v>
      </c>
      <c r="D998" s="23" t="s">
        <v>9206</v>
      </c>
      <c r="E998" s="23">
        <v>3</v>
      </c>
    </row>
    <row r="999" spans="1:5" x14ac:dyDescent="0.25">
      <c r="A999" s="24">
        <v>510</v>
      </c>
      <c r="B999" s="24" t="s">
        <v>9188</v>
      </c>
      <c r="C999" s="23" t="s">
        <v>9209</v>
      </c>
      <c r="D999" s="23" t="s">
        <v>9209</v>
      </c>
      <c r="E999" s="23">
        <v>3</v>
      </c>
    </row>
    <row r="1000" spans="1:5" x14ac:dyDescent="0.25">
      <c r="A1000" s="24">
        <v>511</v>
      </c>
      <c r="B1000" s="24" t="s">
        <v>9188</v>
      </c>
      <c r="C1000" s="23" t="s">
        <v>9233</v>
      </c>
      <c r="D1000" s="23" t="s">
        <v>9233</v>
      </c>
      <c r="E1000" s="23">
        <v>3</v>
      </c>
    </row>
    <row r="1001" spans="1:5" x14ac:dyDescent="0.25">
      <c r="A1001" s="24">
        <v>512</v>
      </c>
      <c r="B1001" s="24" t="s">
        <v>9210</v>
      </c>
      <c r="C1001" s="24" t="s">
        <v>9211</v>
      </c>
      <c r="D1001" s="25" t="s">
        <v>9212</v>
      </c>
      <c r="E1001" s="23">
        <v>3</v>
      </c>
    </row>
  </sheetData>
  <conditionalFormatting sqref="A1">
    <cfRule type="duplicateValues" dxfId="2" priority="2"/>
    <cfRule type="duplicateValues" dxfId="1" priority="3"/>
  </conditionalFormatting>
  <conditionalFormatting sqref="C1">
    <cfRule type="containsText" dxfId="0" priority="1" operator="containsText" text="(Discipline Overall)">
      <formula>NOT(ISERROR(SEARCH("(Discipline Overall)",C1)))</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14E03-E5A7-4C47-875B-C8837637FD92}">
  <dimension ref="A1:B6290"/>
  <sheetViews>
    <sheetView topLeftCell="A6211" workbookViewId="0">
      <selection activeCell="E8" sqref="E8"/>
    </sheetView>
  </sheetViews>
  <sheetFormatPr defaultRowHeight="15.75" x14ac:dyDescent="0.25"/>
  <cols>
    <col min="1" max="1" width="33.375" customWidth="1"/>
  </cols>
  <sheetData>
    <row r="1" spans="1:2" x14ac:dyDescent="0.25">
      <c r="A1" t="s">
        <v>8821</v>
      </c>
      <c r="B1" t="s">
        <v>8822</v>
      </c>
    </row>
    <row r="2" spans="1:2" x14ac:dyDescent="0.25">
      <c r="A2" t="s">
        <v>2661</v>
      </c>
      <c r="B2">
        <v>493868</v>
      </c>
    </row>
    <row r="3" spans="1:2" x14ac:dyDescent="0.25">
      <c r="A3" t="s">
        <v>2662</v>
      </c>
      <c r="B3">
        <v>177834</v>
      </c>
    </row>
    <row r="4" spans="1:2" x14ac:dyDescent="0.25">
      <c r="A4" t="s">
        <v>2663</v>
      </c>
      <c r="B4">
        <v>180203</v>
      </c>
    </row>
    <row r="5" spans="1:2" x14ac:dyDescent="0.25">
      <c r="A5" t="s">
        <v>2664</v>
      </c>
      <c r="B5">
        <v>491464</v>
      </c>
    </row>
    <row r="6" spans="1:2" x14ac:dyDescent="0.25">
      <c r="A6" t="s">
        <v>2665</v>
      </c>
      <c r="B6">
        <v>459523</v>
      </c>
    </row>
    <row r="7" spans="1:2" x14ac:dyDescent="0.25">
      <c r="A7" t="s">
        <v>2666</v>
      </c>
      <c r="B7">
        <v>485500</v>
      </c>
    </row>
    <row r="8" spans="1:2" x14ac:dyDescent="0.25">
      <c r="A8" t="s">
        <v>2667</v>
      </c>
      <c r="B8">
        <v>461892</v>
      </c>
    </row>
    <row r="9" spans="1:2" x14ac:dyDescent="0.25">
      <c r="A9" t="s">
        <v>2668</v>
      </c>
      <c r="B9">
        <v>222178</v>
      </c>
    </row>
    <row r="10" spans="1:2" x14ac:dyDescent="0.25">
      <c r="A10" t="s">
        <v>2669</v>
      </c>
      <c r="B10">
        <v>497037</v>
      </c>
    </row>
    <row r="11" spans="1:2" x14ac:dyDescent="0.25">
      <c r="A11" t="s">
        <v>2670</v>
      </c>
      <c r="B11">
        <v>138558</v>
      </c>
    </row>
    <row r="12" spans="1:2" x14ac:dyDescent="0.25">
      <c r="A12" t="s">
        <v>2671</v>
      </c>
      <c r="B12">
        <v>488031</v>
      </c>
    </row>
    <row r="13" spans="1:2" x14ac:dyDescent="0.25">
      <c r="A13" t="s">
        <v>2672</v>
      </c>
      <c r="B13">
        <v>421896</v>
      </c>
    </row>
    <row r="14" spans="1:2" x14ac:dyDescent="0.25">
      <c r="A14" t="s">
        <v>2673</v>
      </c>
      <c r="B14">
        <v>172866</v>
      </c>
    </row>
    <row r="15" spans="1:2" x14ac:dyDescent="0.25">
      <c r="A15" t="s">
        <v>2674</v>
      </c>
      <c r="B15">
        <v>449463</v>
      </c>
    </row>
    <row r="16" spans="1:2" x14ac:dyDescent="0.25">
      <c r="A16" t="s">
        <v>2675</v>
      </c>
      <c r="B16">
        <v>476957</v>
      </c>
    </row>
    <row r="17" spans="1:2" x14ac:dyDescent="0.25">
      <c r="A17" t="s">
        <v>2676</v>
      </c>
      <c r="B17">
        <v>457989</v>
      </c>
    </row>
    <row r="18" spans="1:2" x14ac:dyDescent="0.25">
      <c r="A18" t="s">
        <v>2677</v>
      </c>
      <c r="B18">
        <v>451079</v>
      </c>
    </row>
    <row r="19" spans="1:2" x14ac:dyDescent="0.25">
      <c r="A19" t="s">
        <v>2678</v>
      </c>
      <c r="B19">
        <v>457271</v>
      </c>
    </row>
    <row r="20" spans="1:2" x14ac:dyDescent="0.25">
      <c r="A20" t="s">
        <v>2679</v>
      </c>
      <c r="B20">
        <v>412173</v>
      </c>
    </row>
    <row r="21" spans="1:2" x14ac:dyDescent="0.25">
      <c r="A21" t="s">
        <v>2680</v>
      </c>
      <c r="B21">
        <v>462062</v>
      </c>
    </row>
    <row r="22" spans="1:2" x14ac:dyDescent="0.25">
      <c r="A22" t="s">
        <v>2681</v>
      </c>
      <c r="B22">
        <v>497198</v>
      </c>
    </row>
    <row r="23" spans="1:2" x14ac:dyDescent="0.25">
      <c r="A23" t="s">
        <v>2682</v>
      </c>
      <c r="B23">
        <v>108232</v>
      </c>
    </row>
    <row r="24" spans="1:2" x14ac:dyDescent="0.25">
      <c r="A24" t="s">
        <v>2683</v>
      </c>
      <c r="B24">
        <v>489122</v>
      </c>
    </row>
    <row r="25" spans="1:2" x14ac:dyDescent="0.25">
      <c r="A25" t="s">
        <v>2683</v>
      </c>
      <c r="B25">
        <v>489131</v>
      </c>
    </row>
    <row r="26" spans="1:2" x14ac:dyDescent="0.25">
      <c r="A26" t="s">
        <v>2683</v>
      </c>
      <c r="B26">
        <v>489140</v>
      </c>
    </row>
    <row r="27" spans="1:2" x14ac:dyDescent="0.25">
      <c r="A27" t="s">
        <v>2684</v>
      </c>
      <c r="B27">
        <v>451097</v>
      </c>
    </row>
    <row r="28" spans="1:2" x14ac:dyDescent="0.25">
      <c r="A28" t="s">
        <v>2685</v>
      </c>
      <c r="B28">
        <v>237729</v>
      </c>
    </row>
    <row r="29" spans="1:2" x14ac:dyDescent="0.25">
      <c r="A29" t="s">
        <v>2686</v>
      </c>
      <c r="B29">
        <v>108269</v>
      </c>
    </row>
    <row r="30" spans="1:2" x14ac:dyDescent="0.25">
      <c r="A30" t="s">
        <v>2687</v>
      </c>
      <c r="B30">
        <v>372462</v>
      </c>
    </row>
    <row r="31" spans="1:2" x14ac:dyDescent="0.25">
      <c r="A31" t="s">
        <v>2688</v>
      </c>
      <c r="B31">
        <v>457855</v>
      </c>
    </row>
    <row r="32" spans="1:2" x14ac:dyDescent="0.25">
      <c r="A32" t="s">
        <v>2689</v>
      </c>
      <c r="B32">
        <v>179991</v>
      </c>
    </row>
    <row r="33" spans="1:2" x14ac:dyDescent="0.25">
      <c r="A33" t="s">
        <v>2690</v>
      </c>
      <c r="B33">
        <v>454722</v>
      </c>
    </row>
    <row r="34" spans="1:2" x14ac:dyDescent="0.25">
      <c r="A34" t="s">
        <v>2691</v>
      </c>
      <c r="B34">
        <v>175722</v>
      </c>
    </row>
    <row r="35" spans="1:2" x14ac:dyDescent="0.25">
      <c r="A35" t="s">
        <v>2692</v>
      </c>
      <c r="B35">
        <v>374316</v>
      </c>
    </row>
    <row r="36" spans="1:2" x14ac:dyDescent="0.25">
      <c r="A36" t="s">
        <v>2693</v>
      </c>
      <c r="B36">
        <v>447449</v>
      </c>
    </row>
    <row r="37" spans="1:2" x14ac:dyDescent="0.25">
      <c r="A37" t="s">
        <v>2694</v>
      </c>
      <c r="B37">
        <v>181880</v>
      </c>
    </row>
    <row r="38" spans="1:2" x14ac:dyDescent="0.25">
      <c r="A38" t="s">
        <v>2695</v>
      </c>
      <c r="B38">
        <v>434274</v>
      </c>
    </row>
    <row r="39" spans="1:2" x14ac:dyDescent="0.25">
      <c r="A39" t="s">
        <v>2696</v>
      </c>
      <c r="B39">
        <v>455929</v>
      </c>
    </row>
    <row r="40" spans="1:2" x14ac:dyDescent="0.25">
      <c r="A40" t="s">
        <v>2697</v>
      </c>
      <c r="B40">
        <v>382461</v>
      </c>
    </row>
    <row r="41" spans="1:2" x14ac:dyDescent="0.25">
      <c r="A41" t="s">
        <v>2698</v>
      </c>
      <c r="B41">
        <v>451334</v>
      </c>
    </row>
    <row r="42" spans="1:2" x14ac:dyDescent="0.25">
      <c r="A42" t="s">
        <v>2699</v>
      </c>
      <c r="B42">
        <v>376446</v>
      </c>
    </row>
    <row r="43" spans="1:2" x14ac:dyDescent="0.25">
      <c r="A43" t="s">
        <v>2700</v>
      </c>
      <c r="B43">
        <v>482185</v>
      </c>
    </row>
    <row r="44" spans="1:2" x14ac:dyDescent="0.25">
      <c r="A44" t="s">
        <v>2700</v>
      </c>
      <c r="B44">
        <v>487658</v>
      </c>
    </row>
    <row r="45" spans="1:2" x14ac:dyDescent="0.25">
      <c r="A45" t="s">
        <v>2701</v>
      </c>
      <c r="B45">
        <v>451051</v>
      </c>
    </row>
    <row r="46" spans="1:2" x14ac:dyDescent="0.25">
      <c r="A46" t="s">
        <v>2702</v>
      </c>
      <c r="B46">
        <v>449454</v>
      </c>
    </row>
    <row r="47" spans="1:2" x14ac:dyDescent="0.25">
      <c r="A47" t="s">
        <v>2703</v>
      </c>
      <c r="B47">
        <v>486619</v>
      </c>
    </row>
    <row r="48" spans="1:2" x14ac:dyDescent="0.25">
      <c r="A48" t="s">
        <v>2704</v>
      </c>
      <c r="B48">
        <v>107293</v>
      </c>
    </row>
    <row r="49" spans="1:2" x14ac:dyDescent="0.25">
      <c r="A49" t="s">
        <v>2705</v>
      </c>
      <c r="B49">
        <v>480879</v>
      </c>
    </row>
    <row r="50" spans="1:2" x14ac:dyDescent="0.25">
      <c r="A50" t="s">
        <v>2706</v>
      </c>
      <c r="B50">
        <v>210508</v>
      </c>
    </row>
    <row r="51" spans="1:2" x14ac:dyDescent="0.25">
      <c r="A51" t="s">
        <v>2707</v>
      </c>
      <c r="B51">
        <v>461342</v>
      </c>
    </row>
    <row r="52" spans="1:2" x14ac:dyDescent="0.25">
      <c r="A52" t="s">
        <v>2708</v>
      </c>
      <c r="B52">
        <v>483708</v>
      </c>
    </row>
    <row r="53" spans="1:2" x14ac:dyDescent="0.25">
      <c r="A53" t="s">
        <v>2709</v>
      </c>
      <c r="B53">
        <v>494904</v>
      </c>
    </row>
    <row r="54" spans="1:2" x14ac:dyDescent="0.25">
      <c r="A54" t="s">
        <v>2710</v>
      </c>
      <c r="B54">
        <v>480736</v>
      </c>
    </row>
    <row r="55" spans="1:2" x14ac:dyDescent="0.25">
      <c r="A55" t="s">
        <v>2711</v>
      </c>
      <c r="B55">
        <v>449676</v>
      </c>
    </row>
    <row r="56" spans="1:2" x14ac:dyDescent="0.25">
      <c r="A56" t="s">
        <v>2712</v>
      </c>
      <c r="B56">
        <v>384306</v>
      </c>
    </row>
    <row r="57" spans="1:2" x14ac:dyDescent="0.25">
      <c r="A57" t="s">
        <v>2713</v>
      </c>
      <c r="B57">
        <v>439969</v>
      </c>
    </row>
    <row r="58" spans="1:2" x14ac:dyDescent="0.25">
      <c r="A58" t="s">
        <v>2714</v>
      </c>
      <c r="B58">
        <v>126182</v>
      </c>
    </row>
    <row r="59" spans="1:2" x14ac:dyDescent="0.25">
      <c r="A59" t="s">
        <v>2715</v>
      </c>
      <c r="B59">
        <v>188429</v>
      </c>
    </row>
    <row r="60" spans="1:2" x14ac:dyDescent="0.25">
      <c r="A60" t="s">
        <v>2716</v>
      </c>
      <c r="B60">
        <v>374024</v>
      </c>
    </row>
    <row r="61" spans="1:2" x14ac:dyDescent="0.25">
      <c r="A61" t="s">
        <v>2717</v>
      </c>
      <c r="B61">
        <v>142832</v>
      </c>
    </row>
    <row r="62" spans="1:2" x14ac:dyDescent="0.25">
      <c r="A62" t="s">
        <v>2718</v>
      </c>
      <c r="B62">
        <v>168528</v>
      </c>
    </row>
    <row r="63" spans="1:2" x14ac:dyDescent="0.25">
      <c r="A63" t="s">
        <v>2719</v>
      </c>
      <c r="B63">
        <v>495217</v>
      </c>
    </row>
    <row r="64" spans="1:2" x14ac:dyDescent="0.25">
      <c r="A64" t="s">
        <v>2720</v>
      </c>
      <c r="B64">
        <v>262369</v>
      </c>
    </row>
    <row r="65" spans="1:2" x14ac:dyDescent="0.25">
      <c r="A65" t="s">
        <v>2721</v>
      </c>
      <c r="B65">
        <v>203030</v>
      </c>
    </row>
    <row r="66" spans="1:2" x14ac:dyDescent="0.25">
      <c r="A66" t="s">
        <v>2722</v>
      </c>
      <c r="B66">
        <v>183983</v>
      </c>
    </row>
    <row r="67" spans="1:2" x14ac:dyDescent="0.25">
      <c r="A67" t="s">
        <v>2723</v>
      </c>
      <c r="B67">
        <v>400187</v>
      </c>
    </row>
    <row r="68" spans="1:2" x14ac:dyDescent="0.25">
      <c r="A68" t="s">
        <v>2724</v>
      </c>
      <c r="B68">
        <v>479974</v>
      </c>
    </row>
    <row r="69" spans="1:2" x14ac:dyDescent="0.25">
      <c r="A69" t="s">
        <v>2725</v>
      </c>
      <c r="B69">
        <v>444334</v>
      </c>
    </row>
    <row r="70" spans="1:2" x14ac:dyDescent="0.25">
      <c r="A70" t="s">
        <v>2726</v>
      </c>
      <c r="B70">
        <v>437608</v>
      </c>
    </row>
    <row r="71" spans="1:2" x14ac:dyDescent="0.25">
      <c r="A71" t="s">
        <v>2727</v>
      </c>
      <c r="B71">
        <v>458052</v>
      </c>
    </row>
    <row r="72" spans="1:2" x14ac:dyDescent="0.25">
      <c r="A72" t="s">
        <v>2728</v>
      </c>
      <c r="B72">
        <v>480019</v>
      </c>
    </row>
    <row r="73" spans="1:2" x14ac:dyDescent="0.25">
      <c r="A73" t="s">
        <v>2729</v>
      </c>
      <c r="B73">
        <v>444343</v>
      </c>
    </row>
    <row r="74" spans="1:2" x14ac:dyDescent="0.25">
      <c r="A74" t="s">
        <v>2730</v>
      </c>
      <c r="B74">
        <v>461786</v>
      </c>
    </row>
    <row r="75" spans="1:2" x14ac:dyDescent="0.25">
      <c r="A75" t="s">
        <v>2731</v>
      </c>
      <c r="B75">
        <v>231411</v>
      </c>
    </row>
    <row r="76" spans="1:2" x14ac:dyDescent="0.25">
      <c r="A76" t="s">
        <v>2732</v>
      </c>
      <c r="B76">
        <v>461430</v>
      </c>
    </row>
    <row r="77" spans="1:2" x14ac:dyDescent="0.25">
      <c r="A77" t="s">
        <v>2733</v>
      </c>
      <c r="B77">
        <v>456001</v>
      </c>
    </row>
    <row r="78" spans="1:2" x14ac:dyDescent="0.25">
      <c r="A78" t="s">
        <v>2734</v>
      </c>
      <c r="B78">
        <v>490896</v>
      </c>
    </row>
    <row r="79" spans="1:2" x14ac:dyDescent="0.25">
      <c r="A79" t="s">
        <v>2735</v>
      </c>
      <c r="B79">
        <v>423397</v>
      </c>
    </row>
    <row r="80" spans="1:2" x14ac:dyDescent="0.25">
      <c r="A80" t="s">
        <v>2735</v>
      </c>
      <c r="B80">
        <v>493071</v>
      </c>
    </row>
    <row r="81" spans="1:2" x14ac:dyDescent="0.25">
      <c r="A81" t="s">
        <v>2736</v>
      </c>
      <c r="B81">
        <v>495970</v>
      </c>
    </row>
    <row r="82" spans="1:2" x14ac:dyDescent="0.25">
      <c r="A82" t="s">
        <v>2737</v>
      </c>
      <c r="B82">
        <v>133872</v>
      </c>
    </row>
    <row r="83" spans="1:2" x14ac:dyDescent="0.25">
      <c r="A83" t="s">
        <v>2738</v>
      </c>
      <c r="B83">
        <v>476878</v>
      </c>
    </row>
    <row r="84" spans="1:2" x14ac:dyDescent="0.25">
      <c r="A84" t="s">
        <v>2739</v>
      </c>
      <c r="B84">
        <v>496724</v>
      </c>
    </row>
    <row r="85" spans="1:2" x14ac:dyDescent="0.25">
      <c r="A85" t="s">
        <v>2740</v>
      </c>
      <c r="B85">
        <v>496399</v>
      </c>
    </row>
    <row r="86" spans="1:2" x14ac:dyDescent="0.25">
      <c r="A86" t="s">
        <v>2741</v>
      </c>
      <c r="B86">
        <v>138600</v>
      </c>
    </row>
    <row r="87" spans="1:2" x14ac:dyDescent="0.25">
      <c r="A87" t="s">
        <v>2742</v>
      </c>
      <c r="B87">
        <v>134811</v>
      </c>
    </row>
    <row r="88" spans="1:2" x14ac:dyDescent="0.25">
      <c r="A88" t="s">
        <v>2743</v>
      </c>
      <c r="B88">
        <v>457998</v>
      </c>
    </row>
    <row r="89" spans="1:2" x14ac:dyDescent="0.25">
      <c r="A89" t="s">
        <v>2744</v>
      </c>
      <c r="B89">
        <v>217615</v>
      </c>
    </row>
    <row r="90" spans="1:2" x14ac:dyDescent="0.25">
      <c r="A90" t="s">
        <v>2745</v>
      </c>
      <c r="B90">
        <v>126207</v>
      </c>
    </row>
    <row r="91" spans="1:2" x14ac:dyDescent="0.25">
      <c r="A91" t="s">
        <v>2746</v>
      </c>
      <c r="B91">
        <v>200697</v>
      </c>
    </row>
    <row r="92" spans="1:2" x14ac:dyDescent="0.25">
      <c r="A92" t="s">
        <v>2747</v>
      </c>
      <c r="B92">
        <v>100654</v>
      </c>
    </row>
    <row r="93" spans="1:2" x14ac:dyDescent="0.25">
      <c r="A93" t="s">
        <v>2748</v>
      </c>
      <c r="B93">
        <v>483975</v>
      </c>
    </row>
    <row r="94" spans="1:2" x14ac:dyDescent="0.25">
      <c r="A94" t="s">
        <v>2749</v>
      </c>
      <c r="B94">
        <v>488916</v>
      </c>
    </row>
    <row r="95" spans="1:2" x14ac:dyDescent="0.25">
      <c r="A95" t="s">
        <v>2750</v>
      </c>
      <c r="B95">
        <v>371034</v>
      </c>
    </row>
    <row r="96" spans="1:2" x14ac:dyDescent="0.25">
      <c r="A96" t="s">
        <v>2751</v>
      </c>
      <c r="B96">
        <v>100724</v>
      </c>
    </row>
    <row r="97" spans="1:2" x14ac:dyDescent="0.25">
      <c r="A97" t="s">
        <v>2752</v>
      </c>
      <c r="B97">
        <v>199786</v>
      </c>
    </row>
    <row r="98" spans="1:2" x14ac:dyDescent="0.25">
      <c r="A98" t="s">
        <v>2753</v>
      </c>
      <c r="B98">
        <v>482981</v>
      </c>
    </row>
    <row r="99" spans="1:2" x14ac:dyDescent="0.25">
      <c r="A99" t="s">
        <v>2754</v>
      </c>
      <c r="B99">
        <v>222497</v>
      </c>
    </row>
    <row r="100" spans="1:2" x14ac:dyDescent="0.25">
      <c r="A100" t="s">
        <v>2755</v>
      </c>
      <c r="B100">
        <v>102580</v>
      </c>
    </row>
    <row r="101" spans="1:2" x14ac:dyDescent="0.25">
      <c r="A101" t="s">
        <v>2756</v>
      </c>
      <c r="B101">
        <v>103501</v>
      </c>
    </row>
    <row r="102" spans="1:2" x14ac:dyDescent="0.25">
      <c r="A102" t="s">
        <v>2757</v>
      </c>
      <c r="B102">
        <v>442523</v>
      </c>
    </row>
    <row r="103" spans="1:2" x14ac:dyDescent="0.25">
      <c r="A103" t="s">
        <v>2758</v>
      </c>
      <c r="B103">
        <v>102669</v>
      </c>
    </row>
    <row r="104" spans="1:2" x14ac:dyDescent="0.25">
      <c r="A104" t="s">
        <v>2759</v>
      </c>
      <c r="B104">
        <v>102711</v>
      </c>
    </row>
    <row r="105" spans="1:2" x14ac:dyDescent="0.25">
      <c r="A105" t="s">
        <v>2760</v>
      </c>
      <c r="B105">
        <v>418038</v>
      </c>
    </row>
    <row r="106" spans="1:2" x14ac:dyDescent="0.25">
      <c r="A106" t="s">
        <v>2761</v>
      </c>
      <c r="B106">
        <v>188526</v>
      </c>
    </row>
    <row r="107" spans="1:2" x14ac:dyDescent="0.25">
      <c r="A107" t="s">
        <v>2762</v>
      </c>
      <c r="B107">
        <v>188535</v>
      </c>
    </row>
    <row r="108" spans="1:2" x14ac:dyDescent="0.25">
      <c r="A108" t="s">
        <v>2763</v>
      </c>
      <c r="B108">
        <v>188580</v>
      </c>
    </row>
    <row r="109" spans="1:2" x14ac:dyDescent="0.25">
      <c r="A109" t="s">
        <v>2764</v>
      </c>
      <c r="B109">
        <v>138716</v>
      </c>
    </row>
    <row r="110" spans="1:2" x14ac:dyDescent="0.25">
      <c r="A110" t="s">
        <v>2765</v>
      </c>
      <c r="B110">
        <v>138682</v>
      </c>
    </row>
    <row r="111" spans="1:2" x14ac:dyDescent="0.25">
      <c r="A111" t="s">
        <v>2766</v>
      </c>
      <c r="B111">
        <v>385415</v>
      </c>
    </row>
    <row r="112" spans="1:2" x14ac:dyDescent="0.25">
      <c r="A112" t="s">
        <v>2767</v>
      </c>
      <c r="B112">
        <v>128498</v>
      </c>
    </row>
    <row r="113" spans="1:2" x14ac:dyDescent="0.25">
      <c r="A113" t="s">
        <v>2768</v>
      </c>
      <c r="B113">
        <v>168546</v>
      </c>
    </row>
    <row r="114" spans="1:2" x14ac:dyDescent="0.25">
      <c r="A114" t="s">
        <v>2769</v>
      </c>
      <c r="B114">
        <v>132842</v>
      </c>
    </row>
    <row r="115" spans="1:2" x14ac:dyDescent="0.25">
      <c r="A115" t="s">
        <v>2770</v>
      </c>
      <c r="B115">
        <v>241331</v>
      </c>
    </row>
    <row r="116" spans="1:2" x14ac:dyDescent="0.25">
      <c r="A116" t="s">
        <v>2771</v>
      </c>
      <c r="B116">
        <v>210571</v>
      </c>
    </row>
    <row r="117" spans="1:2" x14ac:dyDescent="0.25">
      <c r="A117" t="s">
        <v>2772</v>
      </c>
      <c r="B117">
        <v>175342</v>
      </c>
    </row>
    <row r="118" spans="1:2" x14ac:dyDescent="0.25">
      <c r="A118" t="s">
        <v>2773</v>
      </c>
      <c r="B118">
        <v>495192</v>
      </c>
    </row>
    <row r="119" spans="1:2" x14ac:dyDescent="0.25">
      <c r="A119" t="s">
        <v>2774</v>
      </c>
      <c r="B119">
        <v>237118</v>
      </c>
    </row>
    <row r="120" spans="1:2" x14ac:dyDescent="0.25">
      <c r="A120" t="s">
        <v>2775</v>
      </c>
      <c r="B120">
        <v>476735</v>
      </c>
    </row>
    <row r="121" spans="1:2" x14ac:dyDescent="0.25">
      <c r="A121" t="s">
        <v>2776</v>
      </c>
      <c r="B121">
        <v>483425</v>
      </c>
    </row>
    <row r="122" spans="1:2" x14ac:dyDescent="0.25">
      <c r="A122" t="s">
        <v>2777</v>
      </c>
      <c r="B122">
        <v>368036</v>
      </c>
    </row>
    <row r="123" spans="1:2" x14ac:dyDescent="0.25">
      <c r="A123" t="s">
        <v>2778</v>
      </c>
      <c r="B123">
        <v>172918</v>
      </c>
    </row>
    <row r="124" spans="1:2" x14ac:dyDescent="0.25">
      <c r="A124" t="s">
        <v>2779</v>
      </c>
      <c r="B124">
        <v>188641</v>
      </c>
    </row>
    <row r="125" spans="1:2" x14ac:dyDescent="0.25">
      <c r="A125" t="s">
        <v>2780</v>
      </c>
      <c r="B125">
        <v>393524</v>
      </c>
    </row>
    <row r="126" spans="1:2" x14ac:dyDescent="0.25">
      <c r="A126" t="s">
        <v>2781</v>
      </c>
      <c r="B126">
        <v>487995</v>
      </c>
    </row>
    <row r="127" spans="1:2" x14ac:dyDescent="0.25">
      <c r="A127" t="s">
        <v>2782</v>
      </c>
      <c r="B127">
        <v>156189</v>
      </c>
    </row>
    <row r="128" spans="1:2" x14ac:dyDescent="0.25">
      <c r="A128" t="s">
        <v>2783</v>
      </c>
      <c r="B128">
        <v>459125</v>
      </c>
    </row>
    <row r="129" spans="1:2" x14ac:dyDescent="0.25">
      <c r="A129" t="s">
        <v>2783</v>
      </c>
      <c r="B129">
        <v>485306</v>
      </c>
    </row>
    <row r="130" spans="1:2" x14ac:dyDescent="0.25">
      <c r="A130" t="s">
        <v>2783</v>
      </c>
      <c r="B130">
        <v>486868</v>
      </c>
    </row>
    <row r="131" spans="1:2" x14ac:dyDescent="0.25">
      <c r="A131" t="s">
        <v>2784</v>
      </c>
      <c r="B131">
        <v>108807</v>
      </c>
    </row>
    <row r="132" spans="1:2" x14ac:dyDescent="0.25">
      <c r="A132" t="s">
        <v>2785</v>
      </c>
      <c r="B132">
        <v>161688</v>
      </c>
    </row>
    <row r="133" spans="1:2" x14ac:dyDescent="0.25">
      <c r="A133" t="s">
        <v>2786</v>
      </c>
      <c r="B133">
        <v>210669</v>
      </c>
    </row>
    <row r="134" spans="1:2" x14ac:dyDescent="0.25">
      <c r="A134" t="s">
        <v>2787</v>
      </c>
      <c r="B134">
        <v>200873</v>
      </c>
    </row>
    <row r="135" spans="1:2" x14ac:dyDescent="0.25">
      <c r="A135" t="s">
        <v>2788</v>
      </c>
      <c r="B135">
        <v>231721</v>
      </c>
    </row>
    <row r="136" spans="1:2" x14ac:dyDescent="0.25">
      <c r="A136" t="s">
        <v>2789</v>
      </c>
      <c r="B136">
        <v>152798</v>
      </c>
    </row>
    <row r="137" spans="1:2" x14ac:dyDescent="0.25">
      <c r="A137" t="s">
        <v>2790</v>
      </c>
      <c r="B137">
        <v>154642</v>
      </c>
    </row>
    <row r="138" spans="1:2" x14ac:dyDescent="0.25">
      <c r="A138" t="s">
        <v>2791</v>
      </c>
      <c r="B138">
        <v>188650</v>
      </c>
    </row>
    <row r="139" spans="1:2" x14ac:dyDescent="0.25">
      <c r="A139" t="s">
        <v>2792</v>
      </c>
      <c r="B139">
        <v>415987</v>
      </c>
    </row>
    <row r="140" spans="1:2" x14ac:dyDescent="0.25">
      <c r="A140" t="s">
        <v>2793</v>
      </c>
      <c r="B140">
        <v>469610</v>
      </c>
    </row>
    <row r="141" spans="1:2" x14ac:dyDescent="0.25">
      <c r="A141" t="s">
        <v>2794</v>
      </c>
      <c r="B141">
        <v>217624</v>
      </c>
    </row>
    <row r="142" spans="1:2" x14ac:dyDescent="0.25">
      <c r="A142" t="s">
        <v>2795</v>
      </c>
      <c r="B142">
        <v>490522</v>
      </c>
    </row>
    <row r="143" spans="1:2" x14ac:dyDescent="0.25">
      <c r="A143" t="s">
        <v>2796</v>
      </c>
      <c r="B143">
        <v>369109</v>
      </c>
    </row>
    <row r="144" spans="1:2" x14ac:dyDescent="0.25">
      <c r="A144" t="s">
        <v>2797</v>
      </c>
      <c r="B144">
        <v>483850</v>
      </c>
    </row>
    <row r="145" spans="1:2" x14ac:dyDescent="0.25">
      <c r="A145" t="s">
        <v>2798</v>
      </c>
      <c r="B145">
        <v>110468</v>
      </c>
    </row>
    <row r="146" spans="1:2" x14ac:dyDescent="0.25">
      <c r="A146" t="s">
        <v>2799</v>
      </c>
      <c r="B146">
        <v>490151</v>
      </c>
    </row>
    <row r="147" spans="1:2" x14ac:dyDescent="0.25">
      <c r="A147" t="s">
        <v>2800</v>
      </c>
      <c r="B147">
        <v>210599</v>
      </c>
    </row>
    <row r="148" spans="1:2" x14ac:dyDescent="0.25">
      <c r="A148" t="s">
        <v>2801</v>
      </c>
      <c r="B148">
        <v>418658</v>
      </c>
    </row>
    <row r="149" spans="1:2" x14ac:dyDescent="0.25">
      <c r="A149" t="s">
        <v>2802</v>
      </c>
      <c r="B149">
        <v>373784</v>
      </c>
    </row>
    <row r="150" spans="1:2" x14ac:dyDescent="0.25">
      <c r="A150" t="s">
        <v>2803</v>
      </c>
      <c r="B150">
        <v>461111</v>
      </c>
    </row>
    <row r="151" spans="1:2" x14ac:dyDescent="0.25">
      <c r="A151" t="s">
        <v>2804</v>
      </c>
      <c r="B151">
        <v>248192</v>
      </c>
    </row>
    <row r="152" spans="1:2" x14ac:dyDescent="0.25">
      <c r="A152" t="s">
        <v>2805</v>
      </c>
      <c r="B152">
        <v>168591</v>
      </c>
    </row>
    <row r="153" spans="1:2" x14ac:dyDescent="0.25">
      <c r="A153" t="s">
        <v>2806</v>
      </c>
      <c r="B153">
        <v>496609</v>
      </c>
    </row>
    <row r="154" spans="1:2" x14ac:dyDescent="0.25">
      <c r="A154" t="s">
        <v>2807</v>
      </c>
      <c r="B154">
        <v>168607</v>
      </c>
    </row>
    <row r="155" spans="1:2" x14ac:dyDescent="0.25">
      <c r="A155" t="s">
        <v>2808</v>
      </c>
      <c r="B155">
        <v>445461</v>
      </c>
    </row>
    <row r="156" spans="1:2" x14ac:dyDescent="0.25">
      <c r="A156" t="s">
        <v>2809</v>
      </c>
      <c r="B156">
        <v>443748</v>
      </c>
    </row>
    <row r="157" spans="1:2" x14ac:dyDescent="0.25">
      <c r="A157" t="s">
        <v>2810</v>
      </c>
      <c r="B157">
        <v>137801</v>
      </c>
    </row>
    <row r="158" spans="1:2" x14ac:dyDescent="0.25">
      <c r="A158" t="s">
        <v>2811</v>
      </c>
      <c r="B158">
        <v>210748</v>
      </c>
    </row>
    <row r="159" spans="1:2" x14ac:dyDescent="0.25">
      <c r="A159" t="s">
        <v>2812</v>
      </c>
      <c r="B159">
        <v>495156</v>
      </c>
    </row>
    <row r="160" spans="1:2" x14ac:dyDescent="0.25">
      <c r="A160" t="s">
        <v>2813</v>
      </c>
      <c r="B160">
        <v>210775</v>
      </c>
    </row>
    <row r="161" spans="1:2" x14ac:dyDescent="0.25">
      <c r="A161" t="s">
        <v>2814</v>
      </c>
      <c r="B161">
        <v>238193</v>
      </c>
    </row>
    <row r="162" spans="1:2" x14ac:dyDescent="0.25">
      <c r="A162" t="s">
        <v>2815</v>
      </c>
      <c r="B162">
        <v>222567</v>
      </c>
    </row>
    <row r="163" spans="1:2" x14ac:dyDescent="0.25">
      <c r="A163" t="s">
        <v>2816</v>
      </c>
      <c r="B163">
        <v>222576</v>
      </c>
    </row>
    <row r="164" spans="1:2" x14ac:dyDescent="0.25">
      <c r="A164" t="s">
        <v>2817</v>
      </c>
      <c r="B164">
        <v>222628</v>
      </c>
    </row>
    <row r="165" spans="1:2" x14ac:dyDescent="0.25">
      <c r="A165" t="s">
        <v>2818</v>
      </c>
      <c r="B165">
        <v>457527</v>
      </c>
    </row>
    <row r="166" spans="1:2" x14ac:dyDescent="0.25">
      <c r="A166" t="s">
        <v>2819</v>
      </c>
      <c r="B166">
        <v>490081</v>
      </c>
    </row>
    <row r="167" spans="1:2" x14ac:dyDescent="0.25">
      <c r="A167" t="s">
        <v>2820</v>
      </c>
      <c r="B167">
        <v>188687</v>
      </c>
    </row>
    <row r="168" spans="1:2" x14ac:dyDescent="0.25">
      <c r="A168" t="s">
        <v>2821</v>
      </c>
      <c r="B168">
        <v>142887</v>
      </c>
    </row>
    <row r="169" spans="1:2" x14ac:dyDescent="0.25">
      <c r="A169" t="s">
        <v>2822</v>
      </c>
      <c r="B169">
        <v>457396</v>
      </c>
    </row>
    <row r="170" spans="1:2" x14ac:dyDescent="0.25">
      <c r="A170" t="s">
        <v>2823</v>
      </c>
      <c r="B170">
        <v>108852</v>
      </c>
    </row>
    <row r="171" spans="1:2" x14ac:dyDescent="0.25">
      <c r="A171" t="s">
        <v>2824</v>
      </c>
      <c r="B171">
        <v>188678</v>
      </c>
    </row>
    <row r="172" spans="1:2" x14ac:dyDescent="0.25">
      <c r="A172" t="s">
        <v>2825</v>
      </c>
      <c r="B172">
        <v>461290</v>
      </c>
    </row>
    <row r="173" spans="1:2" x14ac:dyDescent="0.25">
      <c r="A173" t="s">
        <v>2826</v>
      </c>
      <c r="B173">
        <v>446002</v>
      </c>
    </row>
    <row r="174" spans="1:2" x14ac:dyDescent="0.25">
      <c r="A174" t="s">
        <v>2827</v>
      </c>
      <c r="B174">
        <v>444370</v>
      </c>
    </row>
    <row r="175" spans="1:2" x14ac:dyDescent="0.25">
      <c r="A175" t="s">
        <v>2828</v>
      </c>
      <c r="B175">
        <v>219505</v>
      </c>
    </row>
    <row r="176" spans="1:2" x14ac:dyDescent="0.25">
      <c r="A176" t="s">
        <v>2829</v>
      </c>
      <c r="B176">
        <v>490258</v>
      </c>
    </row>
    <row r="177" spans="1:2" x14ac:dyDescent="0.25">
      <c r="A177" t="s">
        <v>2830</v>
      </c>
      <c r="B177">
        <v>459541</v>
      </c>
    </row>
    <row r="178" spans="1:2" x14ac:dyDescent="0.25">
      <c r="A178" t="s">
        <v>2831</v>
      </c>
      <c r="B178">
        <v>489247</v>
      </c>
    </row>
    <row r="179" spans="1:2" x14ac:dyDescent="0.25">
      <c r="A179" t="s">
        <v>2832</v>
      </c>
      <c r="B179">
        <v>108977</v>
      </c>
    </row>
    <row r="180" spans="1:2" x14ac:dyDescent="0.25">
      <c r="A180" t="s">
        <v>2833</v>
      </c>
      <c r="B180">
        <v>189477</v>
      </c>
    </row>
    <row r="181" spans="1:2" x14ac:dyDescent="0.25">
      <c r="A181" t="s">
        <v>2834</v>
      </c>
      <c r="B181">
        <v>490391</v>
      </c>
    </row>
    <row r="182" spans="1:2" x14ac:dyDescent="0.25">
      <c r="A182" t="s">
        <v>2835</v>
      </c>
      <c r="B182">
        <v>457688</v>
      </c>
    </row>
    <row r="183" spans="1:2" x14ac:dyDescent="0.25">
      <c r="A183" t="s">
        <v>2836</v>
      </c>
      <c r="B183">
        <v>441052</v>
      </c>
    </row>
    <row r="184" spans="1:2" x14ac:dyDescent="0.25">
      <c r="A184" t="s">
        <v>2837</v>
      </c>
      <c r="B184">
        <v>109040</v>
      </c>
    </row>
    <row r="185" spans="1:2" x14ac:dyDescent="0.25">
      <c r="A185" t="s">
        <v>2838</v>
      </c>
      <c r="B185">
        <v>447768</v>
      </c>
    </row>
    <row r="186" spans="1:2" x14ac:dyDescent="0.25">
      <c r="A186" t="s">
        <v>2839</v>
      </c>
      <c r="B186">
        <v>429085</v>
      </c>
    </row>
    <row r="187" spans="1:2" x14ac:dyDescent="0.25">
      <c r="A187" t="s">
        <v>2840</v>
      </c>
      <c r="B187">
        <v>486169</v>
      </c>
    </row>
    <row r="188" spans="1:2" x14ac:dyDescent="0.25">
      <c r="A188" t="s">
        <v>2841</v>
      </c>
      <c r="B188">
        <v>449889</v>
      </c>
    </row>
    <row r="189" spans="1:2" x14ac:dyDescent="0.25">
      <c r="A189" t="s">
        <v>2842</v>
      </c>
      <c r="B189">
        <v>210809</v>
      </c>
    </row>
    <row r="190" spans="1:2" x14ac:dyDescent="0.25">
      <c r="A190" t="s">
        <v>2843</v>
      </c>
      <c r="B190">
        <v>179229</v>
      </c>
    </row>
    <row r="191" spans="1:2" x14ac:dyDescent="0.25">
      <c r="A191" t="s">
        <v>2844</v>
      </c>
      <c r="B191">
        <v>422835</v>
      </c>
    </row>
    <row r="192" spans="1:2" x14ac:dyDescent="0.25">
      <c r="A192" t="s">
        <v>2844</v>
      </c>
      <c r="B192">
        <v>483009</v>
      </c>
    </row>
    <row r="193" spans="1:2" x14ac:dyDescent="0.25">
      <c r="A193" t="s">
        <v>2845</v>
      </c>
      <c r="B193">
        <v>443599</v>
      </c>
    </row>
    <row r="194" spans="1:2" x14ac:dyDescent="0.25">
      <c r="A194" t="s">
        <v>2846</v>
      </c>
      <c r="B194">
        <v>485698</v>
      </c>
    </row>
    <row r="195" spans="1:2" x14ac:dyDescent="0.25">
      <c r="A195" t="s">
        <v>2847</v>
      </c>
      <c r="B195">
        <v>109086</v>
      </c>
    </row>
    <row r="196" spans="1:2" x14ac:dyDescent="0.25">
      <c r="A196" t="s">
        <v>2848</v>
      </c>
      <c r="B196">
        <v>241146</v>
      </c>
    </row>
    <row r="197" spans="1:2" x14ac:dyDescent="0.25">
      <c r="A197" t="s">
        <v>2849</v>
      </c>
      <c r="B197">
        <v>108870</v>
      </c>
    </row>
    <row r="198" spans="1:2" x14ac:dyDescent="0.25">
      <c r="A198" t="s">
        <v>2850</v>
      </c>
      <c r="B198">
        <v>493503</v>
      </c>
    </row>
    <row r="199" spans="1:2" x14ac:dyDescent="0.25">
      <c r="A199" t="s">
        <v>2851</v>
      </c>
      <c r="B199">
        <v>153463</v>
      </c>
    </row>
    <row r="200" spans="1:2" x14ac:dyDescent="0.25">
      <c r="A200" t="s">
        <v>2852</v>
      </c>
      <c r="B200">
        <v>172927</v>
      </c>
    </row>
    <row r="201" spans="1:2" x14ac:dyDescent="0.25">
      <c r="A201" t="s">
        <v>2853</v>
      </c>
      <c r="B201">
        <v>441636</v>
      </c>
    </row>
    <row r="202" spans="1:2" x14ac:dyDescent="0.25">
      <c r="A202" t="s">
        <v>2853</v>
      </c>
      <c r="B202">
        <v>487852</v>
      </c>
    </row>
    <row r="203" spans="1:2" x14ac:dyDescent="0.25">
      <c r="A203" t="s">
        <v>2854</v>
      </c>
      <c r="B203">
        <v>447883</v>
      </c>
    </row>
    <row r="204" spans="1:2" x14ac:dyDescent="0.25">
      <c r="A204" t="s">
        <v>2855</v>
      </c>
      <c r="B204">
        <v>493682</v>
      </c>
    </row>
    <row r="205" spans="1:2" x14ac:dyDescent="0.25">
      <c r="A205" t="s">
        <v>2856</v>
      </c>
      <c r="B205">
        <v>404037</v>
      </c>
    </row>
    <row r="206" spans="1:2" x14ac:dyDescent="0.25">
      <c r="A206" t="s">
        <v>2857</v>
      </c>
      <c r="B206">
        <v>447795</v>
      </c>
    </row>
    <row r="207" spans="1:2" x14ac:dyDescent="0.25">
      <c r="A207" t="s">
        <v>2858</v>
      </c>
      <c r="B207">
        <v>455202</v>
      </c>
    </row>
    <row r="208" spans="1:2" x14ac:dyDescent="0.25">
      <c r="A208" t="s">
        <v>2859</v>
      </c>
      <c r="B208">
        <v>497329</v>
      </c>
    </row>
    <row r="209" spans="1:2" x14ac:dyDescent="0.25">
      <c r="A209" t="s">
        <v>2860</v>
      </c>
      <c r="B209">
        <v>184092</v>
      </c>
    </row>
    <row r="210" spans="1:2" x14ac:dyDescent="0.25">
      <c r="A210" t="s">
        <v>2861</v>
      </c>
      <c r="B210">
        <v>490869</v>
      </c>
    </row>
    <row r="211" spans="1:2" x14ac:dyDescent="0.25">
      <c r="A211" t="s">
        <v>2862</v>
      </c>
      <c r="B211">
        <v>482963</v>
      </c>
    </row>
    <row r="212" spans="1:2" x14ac:dyDescent="0.25">
      <c r="A212" t="s">
        <v>2863</v>
      </c>
      <c r="B212">
        <v>129482</v>
      </c>
    </row>
    <row r="213" spans="1:2" x14ac:dyDescent="0.25">
      <c r="A213" t="s">
        <v>2864</v>
      </c>
      <c r="B213">
        <v>445027</v>
      </c>
    </row>
    <row r="214" spans="1:2" x14ac:dyDescent="0.25">
      <c r="A214" t="s">
        <v>2865</v>
      </c>
      <c r="B214">
        <v>438586</v>
      </c>
    </row>
    <row r="215" spans="1:2" x14ac:dyDescent="0.25">
      <c r="A215" t="s">
        <v>2866</v>
      </c>
      <c r="B215">
        <v>445133</v>
      </c>
    </row>
    <row r="216" spans="1:2" x14ac:dyDescent="0.25">
      <c r="A216" t="s">
        <v>2867</v>
      </c>
      <c r="B216">
        <v>164447</v>
      </c>
    </row>
    <row r="217" spans="1:2" x14ac:dyDescent="0.25">
      <c r="A217" t="s">
        <v>2868</v>
      </c>
      <c r="B217">
        <v>142957</v>
      </c>
    </row>
    <row r="218" spans="1:2" x14ac:dyDescent="0.25">
      <c r="A218" t="s">
        <v>2869</v>
      </c>
      <c r="B218">
        <v>116846</v>
      </c>
    </row>
    <row r="219" spans="1:2" x14ac:dyDescent="0.25">
      <c r="A219" t="s">
        <v>2870</v>
      </c>
      <c r="B219">
        <v>492643</v>
      </c>
    </row>
    <row r="220" spans="1:2" x14ac:dyDescent="0.25">
      <c r="A220" t="s">
        <v>2871</v>
      </c>
      <c r="B220">
        <v>475714</v>
      </c>
    </row>
    <row r="221" spans="1:2" x14ac:dyDescent="0.25">
      <c r="A221" t="s">
        <v>2872</v>
      </c>
      <c r="B221">
        <v>494977</v>
      </c>
    </row>
    <row r="222" spans="1:2" x14ac:dyDescent="0.25">
      <c r="A222" t="s">
        <v>2873</v>
      </c>
      <c r="B222">
        <v>461263</v>
      </c>
    </row>
    <row r="223" spans="1:2" x14ac:dyDescent="0.25">
      <c r="A223" t="s">
        <v>2874</v>
      </c>
      <c r="B223">
        <v>188854</v>
      </c>
    </row>
    <row r="224" spans="1:2" x14ac:dyDescent="0.25">
      <c r="A224" t="s">
        <v>2875</v>
      </c>
      <c r="B224">
        <v>232797</v>
      </c>
    </row>
    <row r="225" spans="1:2" x14ac:dyDescent="0.25">
      <c r="A225" t="s">
        <v>2876</v>
      </c>
      <c r="B225">
        <v>157021</v>
      </c>
    </row>
    <row r="226" spans="1:2" x14ac:dyDescent="0.25">
      <c r="A226" t="s">
        <v>2877</v>
      </c>
      <c r="B226">
        <v>449339</v>
      </c>
    </row>
    <row r="227" spans="1:2" x14ac:dyDescent="0.25">
      <c r="A227" t="s">
        <v>2878</v>
      </c>
      <c r="B227">
        <v>109208</v>
      </c>
    </row>
    <row r="228" spans="1:2" x14ac:dyDescent="0.25">
      <c r="A228" t="s">
        <v>2879</v>
      </c>
      <c r="B228">
        <v>240736</v>
      </c>
    </row>
    <row r="229" spans="1:2" x14ac:dyDescent="0.25">
      <c r="A229" t="s">
        <v>2880</v>
      </c>
      <c r="B229">
        <v>460738</v>
      </c>
    </row>
    <row r="230" spans="1:2" x14ac:dyDescent="0.25">
      <c r="A230" t="s">
        <v>2881</v>
      </c>
      <c r="B230">
        <v>461625</v>
      </c>
    </row>
    <row r="231" spans="1:2" x14ac:dyDescent="0.25">
      <c r="A231" t="s">
        <v>2882</v>
      </c>
      <c r="B231">
        <v>461573</v>
      </c>
    </row>
    <row r="232" spans="1:2" x14ac:dyDescent="0.25">
      <c r="A232" t="s">
        <v>2883</v>
      </c>
      <c r="B232">
        <v>131159</v>
      </c>
    </row>
    <row r="233" spans="1:2" x14ac:dyDescent="0.25">
      <c r="A233" t="s">
        <v>2884</v>
      </c>
      <c r="B233">
        <v>433004</v>
      </c>
    </row>
    <row r="234" spans="1:2" x14ac:dyDescent="0.25">
      <c r="A234" t="s">
        <v>2885</v>
      </c>
      <c r="B234">
        <v>241100</v>
      </c>
    </row>
    <row r="235" spans="1:2" x14ac:dyDescent="0.25">
      <c r="A235" t="s">
        <v>2885</v>
      </c>
      <c r="B235">
        <v>241128</v>
      </c>
    </row>
    <row r="236" spans="1:2" x14ac:dyDescent="0.25">
      <c r="A236" t="s">
        <v>2886</v>
      </c>
      <c r="B236">
        <v>447263</v>
      </c>
    </row>
    <row r="237" spans="1:2" x14ac:dyDescent="0.25">
      <c r="A237" t="s">
        <v>2887</v>
      </c>
      <c r="B237">
        <v>486415</v>
      </c>
    </row>
    <row r="238" spans="1:2" x14ac:dyDescent="0.25">
      <c r="A238" t="s">
        <v>2888</v>
      </c>
      <c r="B238">
        <v>164465</v>
      </c>
    </row>
    <row r="239" spans="1:2" x14ac:dyDescent="0.25">
      <c r="A239" t="s">
        <v>2889</v>
      </c>
      <c r="B239">
        <v>100690</v>
      </c>
    </row>
    <row r="240" spans="1:2" x14ac:dyDescent="0.25">
      <c r="A240" t="s">
        <v>2890</v>
      </c>
      <c r="B240">
        <v>492032</v>
      </c>
    </row>
    <row r="241" spans="1:2" x14ac:dyDescent="0.25">
      <c r="A241" t="s">
        <v>2891</v>
      </c>
      <c r="B241">
        <v>483595</v>
      </c>
    </row>
    <row r="242" spans="1:2" x14ac:dyDescent="0.25">
      <c r="A242" t="s">
        <v>2892</v>
      </c>
      <c r="B242">
        <v>151865</v>
      </c>
    </row>
    <row r="243" spans="1:2" x14ac:dyDescent="0.25">
      <c r="A243" t="s">
        <v>2893</v>
      </c>
      <c r="B243">
        <v>150048</v>
      </c>
    </row>
    <row r="244" spans="1:2" x14ac:dyDescent="0.25">
      <c r="A244" t="s">
        <v>2894</v>
      </c>
      <c r="B244">
        <v>150066</v>
      </c>
    </row>
    <row r="245" spans="1:2" x14ac:dyDescent="0.25">
      <c r="A245" t="s">
        <v>2894</v>
      </c>
      <c r="B245">
        <v>217633</v>
      </c>
    </row>
    <row r="246" spans="1:2" x14ac:dyDescent="0.25">
      <c r="A246" t="s">
        <v>2895</v>
      </c>
      <c r="B246">
        <v>138761</v>
      </c>
    </row>
    <row r="247" spans="1:2" x14ac:dyDescent="0.25">
      <c r="A247" t="s">
        <v>2896</v>
      </c>
      <c r="B247">
        <v>168740</v>
      </c>
    </row>
    <row r="248" spans="1:2" x14ac:dyDescent="0.25">
      <c r="A248" t="s">
        <v>2897</v>
      </c>
      <c r="B248">
        <v>457299</v>
      </c>
    </row>
    <row r="249" spans="1:2" x14ac:dyDescent="0.25">
      <c r="A249" t="s">
        <v>2898</v>
      </c>
      <c r="B249">
        <v>457314</v>
      </c>
    </row>
    <row r="250" spans="1:2" x14ac:dyDescent="0.25">
      <c r="A250" t="s">
        <v>2899</v>
      </c>
      <c r="B250">
        <v>222822</v>
      </c>
    </row>
    <row r="251" spans="1:2" x14ac:dyDescent="0.25">
      <c r="A251" t="s">
        <v>2900</v>
      </c>
      <c r="B251">
        <v>222831</v>
      </c>
    </row>
    <row r="252" spans="1:2" x14ac:dyDescent="0.25">
      <c r="A252" t="s">
        <v>2901</v>
      </c>
      <c r="B252">
        <v>496487</v>
      </c>
    </row>
    <row r="253" spans="1:2" x14ac:dyDescent="0.25">
      <c r="A253" t="s">
        <v>2902</v>
      </c>
      <c r="B253">
        <v>490425</v>
      </c>
    </row>
    <row r="254" spans="1:2" x14ac:dyDescent="0.25">
      <c r="A254" t="s">
        <v>2903</v>
      </c>
      <c r="B254">
        <v>164492</v>
      </c>
    </row>
    <row r="255" spans="1:2" x14ac:dyDescent="0.25">
      <c r="A255" t="s">
        <v>2904</v>
      </c>
      <c r="B255">
        <v>161767</v>
      </c>
    </row>
    <row r="256" spans="1:2" x14ac:dyDescent="0.25">
      <c r="A256" t="s">
        <v>2905</v>
      </c>
      <c r="B256">
        <v>475705</v>
      </c>
    </row>
    <row r="257" spans="1:2" x14ac:dyDescent="0.25">
      <c r="A257" t="s">
        <v>2906</v>
      </c>
      <c r="B257">
        <v>172954</v>
      </c>
    </row>
    <row r="258" spans="1:2" x14ac:dyDescent="0.25">
      <c r="A258" t="s">
        <v>2907</v>
      </c>
      <c r="B258">
        <v>172963</v>
      </c>
    </row>
    <row r="259" spans="1:2" x14ac:dyDescent="0.25">
      <c r="A259" t="s">
        <v>2908</v>
      </c>
      <c r="B259">
        <v>491978</v>
      </c>
    </row>
    <row r="260" spans="1:2" x14ac:dyDescent="0.25">
      <c r="A260" t="s">
        <v>2909</v>
      </c>
      <c r="B260">
        <v>491969</v>
      </c>
    </row>
    <row r="261" spans="1:2" x14ac:dyDescent="0.25">
      <c r="A261" t="s">
        <v>2910</v>
      </c>
      <c r="B261">
        <v>434292</v>
      </c>
    </row>
    <row r="262" spans="1:2" x14ac:dyDescent="0.25">
      <c r="A262" t="s">
        <v>2911</v>
      </c>
      <c r="B262">
        <v>109350</v>
      </c>
    </row>
    <row r="263" spans="1:2" x14ac:dyDescent="0.25">
      <c r="A263" t="s">
        <v>2912</v>
      </c>
      <c r="B263">
        <v>496636</v>
      </c>
    </row>
    <row r="264" spans="1:2" x14ac:dyDescent="0.25">
      <c r="A264" t="s">
        <v>2913</v>
      </c>
      <c r="B264">
        <v>241182</v>
      </c>
    </row>
    <row r="265" spans="1:2" x14ac:dyDescent="0.25">
      <c r="A265" t="s">
        <v>2914</v>
      </c>
      <c r="B265">
        <v>483018</v>
      </c>
    </row>
    <row r="266" spans="1:2" x14ac:dyDescent="0.25">
      <c r="A266" t="s">
        <v>2915</v>
      </c>
      <c r="B266">
        <v>245892</v>
      </c>
    </row>
    <row r="267" spans="1:2" x14ac:dyDescent="0.25">
      <c r="A267" t="s">
        <v>2916</v>
      </c>
      <c r="B267">
        <v>485908</v>
      </c>
    </row>
    <row r="268" spans="1:2" x14ac:dyDescent="0.25">
      <c r="A268" t="s">
        <v>2917</v>
      </c>
      <c r="B268">
        <v>245838</v>
      </c>
    </row>
    <row r="269" spans="1:2" x14ac:dyDescent="0.25">
      <c r="A269" t="s">
        <v>2918</v>
      </c>
      <c r="B269">
        <v>245865</v>
      </c>
    </row>
    <row r="270" spans="1:2" x14ac:dyDescent="0.25">
      <c r="A270" t="s">
        <v>2919</v>
      </c>
      <c r="B270">
        <v>442392</v>
      </c>
    </row>
    <row r="271" spans="1:2" x14ac:dyDescent="0.25">
      <c r="A271" t="s">
        <v>2920</v>
      </c>
      <c r="B271">
        <v>245847</v>
      </c>
    </row>
    <row r="272" spans="1:2" x14ac:dyDescent="0.25">
      <c r="A272" t="s">
        <v>2921</v>
      </c>
      <c r="B272">
        <v>245883</v>
      </c>
    </row>
    <row r="273" spans="1:2" x14ac:dyDescent="0.25">
      <c r="A273" t="s">
        <v>2922</v>
      </c>
      <c r="B273">
        <v>440138</v>
      </c>
    </row>
    <row r="274" spans="1:2" x14ac:dyDescent="0.25">
      <c r="A274" t="s">
        <v>2923</v>
      </c>
      <c r="B274">
        <v>429094</v>
      </c>
    </row>
    <row r="275" spans="1:2" x14ac:dyDescent="0.25">
      <c r="A275" t="s">
        <v>2924</v>
      </c>
      <c r="B275">
        <v>485342</v>
      </c>
    </row>
    <row r="276" spans="1:2" x14ac:dyDescent="0.25">
      <c r="A276" t="s">
        <v>2925</v>
      </c>
      <c r="B276">
        <v>490434</v>
      </c>
    </row>
    <row r="277" spans="1:2" x14ac:dyDescent="0.25">
      <c r="A277" t="s">
        <v>2926</v>
      </c>
      <c r="B277">
        <v>494986</v>
      </c>
    </row>
    <row r="278" spans="1:2" x14ac:dyDescent="0.25">
      <c r="A278" t="s">
        <v>2927</v>
      </c>
      <c r="B278">
        <v>188890</v>
      </c>
    </row>
    <row r="279" spans="1:2" x14ac:dyDescent="0.25">
      <c r="A279" t="s">
        <v>2928</v>
      </c>
      <c r="B279">
        <v>201034</v>
      </c>
    </row>
    <row r="280" spans="1:2" x14ac:dyDescent="0.25">
      <c r="A280" t="s">
        <v>2929</v>
      </c>
      <c r="B280">
        <v>237127</v>
      </c>
    </row>
    <row r="281" spans="1:2" x14ac:dyDescent="0.25">
      <c r="A281" t="s">
        <v>2930</v>
      </c>
      <c r="B281">
        <v>237136</v>
      </c>
    </row>
    <row r="282" spans="1:2" x14ac:dyDescent="0.25">
      <c r="A282" t="s">
        <v>2931</v>
      </c>
      <c r="B282">
        <v>449922</v>
      </c>
    </row>
    <row r="283" spans="1:2" x14ac:dyDescent="0.25">
      <c r="A283" t="s">
        <v>2932</v>
      </c>
      <c r="B283">
        <v>432348</v>
      </c>
    </row>
    <row r="284" spans="1:2" x14ac:dyDescent="0.25">
      <c r="A284" t="s">
        <v>2933</v>
      </c>
      <c r="B284">
        <v>197869</v>
      </c>
    </row>
    <row r="285" spans="1:2" x14ac:dyDescent="0.25">
      <c r="A285" t="s">
        <v>2934</v>
      </c>
      <c r="B285">
        <v>417716</v>
      </c>
    </row>
    <row r="286" spans="1:2" x14ac:dyDescent="0.25">
      <c r="A286" t="s">
        <v>2935</v>
      </c>
      <c r="B286">
        <v>168786</v>
      </c>
    </row>
    <row r="287" spans="1:2" x14ac:dyDescent="0.25">
      <c r="A287" t="s">
        <v>2936</v>
      </c>
      <c r="B287">
        <v>176600</v>
      </c>
    </row>
    <row r="288" spans="1:2" x14ac:dyDescent="0.25">
      <c r="A288" t="s">
        <v>2937</v>
      </c>
      <c r="B288">
        <v>126289</v>
      </c>
    </row>
    <row r="289" spans="1:2" x14ac:dyDescent="0.25">
      <c r="A289" t="s">
        <v>2938</v>
      </c>
      <c r="B289">
        <v>211088</v>
      </c>
    </row>
    <row r="290" spans="1:2" x14ac:dyDescent="0.25">
      <c r="A290" t="s">
        <v>2939</v>
      </c>
      <c r="B290">
        <v>487791</v>
      </c>
    </row>
    <row r="291" spans="1:2" x14ac:dyDescent="0.25">
      <c r="A291" t="s">
        <v>2940</v>
      </c>
      <c r="B291">
        <v>103954</v>
      </c>
    </row>
    <row r="292" spans="1:2" x14ac:dyDescent="0.25">
      <c r="A292" t="s">
        <v>2941</v>
      </c>
      <c r="B292">
        <v>420802</v>
      </c>
    </row>
    <row r="293" spans="1:2" x14ac:dyDescent="0.25">
      <c r="A293" t="s">
        <v>2942</v>
      </c>
      <c r="B293">
        <v>105899</v>
      </c>
    </row>
    <row r="294" spans="1:2" x14ac:dyDescent="0.25">
      <c r="A294" t="s">
        <v>2943</v>
      </c>
      <c r="B294">
        <v>494162</v>
      </c>
    </row>
    <row r="295" spans="1:2" x14ac:dyDescent="0.25">
      <c r="A295" t="s">
        <v>2944</v>
      </c>
      <c r="B295">
        <v>495439</v>
      </c>
    </row>
    <row r="296" spans="1:2" x14ac:dyDescent="0.25">
      <c r="A296" t="s">
        <v>2945</v>
      </c>
      <c r="B296">
        <v>487375</v>
      </c>
    </row>
    <row r="297" spans="1:2" x14ac:dyDescent="0.25">
      <c r="A297" t="s">
        <v>2946</v>
      </c>
      <c r="B297">
        <v>495457</v>
      </c>
    </row>
    <row r="298" spans="1:2" x14ac:dyDescent="0.25">
      <c r="A298" t="s">
        <v>2947</v>
      </c>
      <c r="B298">
        <v>497268</v>
      </c>
    </row>
    <row r="299" spans="1:2" x14ac:dyDescent="0.25">
      <c r="A299" t="s">
        <v>2948</v>
      </c>
      <c r="B299">
        <v>495420</v>
      </c>
    </row>
    <row r="300" spans="1:2" x14ac:dyDescent="0.25">
      <c r="A300" t="s">
        <v>2949</v>
      </c>
      <c r="B300">
        <v>421708</v>
      </c>
    </row>
    <row r="301" spans="1:2" x14ac:dyDescent="0.25">
      <c r="A301" t="s">
        <v>2949</v>
      </c>
      <c r="B301">
        <v>494171</v>
      </c>
    </row>
    <row r="302" spans="1:2" x14ac:dyDescent="0.25">
      <c r="A302" t="s">
        <v>2950</v>
      </c>
      <c r="B302">
        <v>495448</v>
      </c>
    </row>
    <row r="303" spans="1:2" x14ac:dyDescent="0.25">
      <c r="A303" t="s">
        <v>2951</v>
      </c>
      <c r="B303">
        <v>497277</v>
      </c>
    </row>
    <row r="304" spans="1:2" x14ac:dyDescent="0.25">
      <c r="A304" t="s">
        <v>2952</v>
      </c>
      <c r="B304">
        <v>482990</v>
      </c>
    </row>
    <row r="305" spans="1:2" x14ac:dyDescent="0.25">
      <c r="A305" t="s">
        <v>2953</v>
      </c>
      <c r="B305">
        <v>450951</v>
      </c>
    </row>
    <row r="306" spans="1:2" x14ac:dyDescent="0.25">
      <c r="A306" t="s">
        <v>2954</v>
      </c>
      <c r="B306">
        <v>446039</v>
      </c>
    </row>
    <row r="307" spans="1:2" x14ac:dyDescent="0.25">
      <c r="A307" t="s">
        <v>2955</v>
      </c>
      <c r="B307">
        <v>484163</v>
      </c>
    </row>
    <row r="308" spans="1:2" x14ac:dyDescent="0.25">
      <c r="A308" t="s">
        <v>2956</v>
      </c>
      <c r="B308">
        <v>104151</v>
      </c>
    </row>
    <row r="309" spans="1:2" x14ac:dyDescent="0.25">
      <c r="A309" t="s">
        <v>2957</v>
      </c>
      <c r="B309">
        <v>483124</v>
      </c>
    </row>
    <row r="310" spans="1:2" x14ac:dyDescent="0.25">
      <c r="A310" t="s">
        <v>2958</v>
      </c>
      <c r="B310">
        <v>104160</v>
      </c>
    </row>
    <row r="311" spans="1:2" x14ac:dyDescent="0.25">
      <c r="A311" t="s">
        <v>2959</v>
      </c>
      <c r="B311">
        <v>106306</v>
      </c>
    </row>
    <row r="312" spans="1:2" x14ac:dyDescent="0.25">
      <c r="A312" t="s">
        <v>2960</v>
      </c>
      <c r="B312">
        <v>106324</v>
      </c>
    </row>
    <row r="313" spans="1:2" x14ac:dyDescent="0.25">
      <c r="A313" t="s">
        <v>2961</v>
      </c>
      <c r="B313">
        <v>106315</v>
      </c>
    </row>
    <row r="314" spans="1:2" x14ac:dyDescent="0.25">
      <c r="A314" t="s">
        <v>2962</v>
      </c>
      <c r="B314">
        <v>488527</v>
      </c>
    </row>
    <row r="315" spans="1:2" x14ac:dyDescent="0.25">
      <c r="A315" t="s">
        <v>2963</v>
      </c>
      <c r="B315">
        <v>107327</v>
      </c>
    </row>
    <row r="316" spans="1:2" x14ac:dyDescent="0.25">
      <c r="A316" t="s">
        <v>2964</v>
      </c>
      <c r="B316">
        <v>106458</v>
      </c>
    </row>
    <row r="317" spans="1:2" x14ac:dyDescent="0.25">
      <c r="A317" t="s">
        <v>2965</v>
      </c>
      <c r="B317">
        <v>107318</v>
      </c>
    </row>
    <row r="318" spans="1:2" x14ac:dyDescent="0.25">
      <c r="A318" t="s">
        <v>2966</v>
      </c>
      <c r="B318">
        <v>448336</v>
      </c>
    </row>
    <row r="319" spans="1:2" x14ac:dyDescent="0.25">
      <c r="A319" t="s">
        <v>2967</v>
      </c>
      <c r="B319">
        <v>107521</v>
      </c>
    </row>
    <row r="320" spans="1:2" x14ac:dyDescent="0.25">
      <c r="A320" t="s">
        <v>2968</v>
      </c>
      <c r="B320">
        <v>106449</v>
      </c>
    </row>
    <row r="321" spans="1:2" x14ac:dyDescent="0.25">
      <c r="A321" t="s">
        <v>2969</v>
      </c>
      <c r="B321">
        <v>420538</v>
      </c>
    </row>
    <row r="322" spans="1:2" x14ac:dyDescent="0.25">
      <c r="A322" t="s">
        <v>2970</v>
      </c>
      <c r="B322">
        <v>440402</v>
      </c>
    </row>
    <row r="323" spans="1:2" x14ac:dyDescent="0.25">
      <c r="A323" t="s">
        <v>2971</v>
      </c>
      <c r="B323">
        <v>106467</v>
      </c>
    </row>
    <row r="324" spans="1:2" x14ac:dyDescent="0.25">
      <c r="A324" t="s">
        <v>2972</v>
      </c>
      <c r="B324">
        <v>106351</v>
      </c>
    </row>
    <row r="325" spans="1:2" x14ac:dyDescent="0.25">
      <c r="A325" t="s">
        <v>2973</v>
      </c>
      <c r="B325">
        <v>491075</v>
      </c>
    </row>
    <row r="326" spans="1:2" x14ac:dyDescent="0.25">
      <c r="A326" t="s">
        <v>2974</v>
      </c>
      <c r="B326">
        <v>222877</v>
      </c>
    </row>
    <row r="327" spans="1:2" x14ac:dyDescent="0.25">
      <c r="A327" t="s">
        <v>2975</v>
      </c>
      <c r="B327">
        <v>222886</v>
      </c>
    </row>
    <row r="328" spans="1:2" x14ac:dyDescent="0.25">
      <c r="A328" t="s">
        <v>2976</v>
      </c>
      <c r="B328">
        <v>219587</v>
      </c>
    </row>
    <row r="329" spans="1:2" x14ac:dyDescent="0.25">
      <c r="A329" t="s">
        <v>2977</v>
      </c>
      <c r="B329">
        <v>188915</v>
      </c>
    </row>
    <row r="330" spans="1:2" x14ac:dyDescent="0.25">
      <c r="A330" t="s">
        <v>2978</v>
      </c>
      <c r="B330">
        <v>482194</v>
      </c>
    </row>
    <row r="331" spans="1:2" x14ac:dyDescent="0.25">
      <c r="A331" t="s">
        <v>2979</v>
      </c>
      <c r="B331">
        <v>201061</v>
      </c>
    </row>
    <row r="332" spans="1:2" x14ac:dyDescent="0.25">
      <c r="A332" t="s">
        <v>2980</v>
      </c>
      <c r="B332">
        <v>109651</v>
      </c>
    </row>
    <row r="333" spans="1:2" x14ac:dyDescent="0.25">
      <c r="A333" t="s">
        <v>2981</v>
      </c>
      <c r="B333">
        <v>106360</v>
      </c>
    </row>
    <row r="334" spans="1:2" x14ac:dyDescent="0.25">
      <c r="A334" t="s">
        <v>2981</v>
      </c>
      <c r="B334">
        <v>106494</v>
      </c>
    </row>
    <row r="335" spans="1:2" x14ac:dyDescent="0.25">
      <c r="A335" t="s">
        <v>2981</v>
      </c>
      <c r="B335">
        <v>445540</v>
      </c>
    </row>
    <row r="336" spans="1:2" x14ac:dyDescent="0.25">
      <c r="A336" t="s">
        <v>2981</v>
      </c>
      <c r="B336">
        <v>489830</v>
      </c>
    </row>
    <row r="337" spans="1:2" x14ac:dyDescent="0.25">
      <c r="A337" t="s">
        <v>2982</v>
      </c>
      <c r="B337">
        <v>414063</v>
      </c>
    </row>
    <row r="338" spans="1:2" x14ac:dyDescent="0.25">
      <c r="A338" t="s">
        <v>2983</v>
      </c>
      <c r="B338">
        <v>460701</v>
      </c>
    </row>
    <row r="339" spans="1:2" x14ac:dyDescent="0.25">
      <c r="A339" t="s">
        <v>2984</v>
      </c>
      <c r="B339">
        <v>378886</v>
      </c>
    </row>
    <row r="340" spans="1:2" x14ac:dyDescent="0.25">
      <c r="A340" t="s">
        <v>2985</v>
      </c>
      <c r="B340">
        <v>404994</v>
      </c>
    </row>
    <row r="341" spans="1:2" x14ac:dyDescent="0.25">
      <c r="A341" t="s">
        <v>2986</v>
      </c>
      <c r="B341">
        <v>156222</v>
      </c>
    </row>
    <row r="342" spans="1:2" x14ac:dyDescent="0.25">
      <c r="A342" t="s">
        <v>2987</v>
      </c>
      <c r="B342">
        <v>156213</v>
      </c>
    </row>
    <row r="343" spans="1:2" x14ac:dyDescent="0.25">
      <c r="A343" t="s">
        <v>2988</v>
      </c>
      <c r="B343">
        <v>458113</v>
      </c>
    </row>
    <row r="344" spans="1:2" x14ac:dyDescent="0.25">
      <c r="A344" t="s">
        <v>2989</v>
      </c>
      <c r="B344">
        <v>447777</v>
      </c>
    </row>
    <row r="345" spans="1:2" x14ac:dyDescent="0.25">
      <c r="A345" t="s">
        <v>2990</v>
      </c>
      <c r="B345">
        <v>234119</v>
      </c>
    </row>
    <row r="346" spans="1:2" x14ac:dyDescent="0.25">
      <c r="A346" t="s">
        <v>2991</v>
      </c>
      <c r="B346">
        <v>197887</v>
      </c>
    </row>
    <row r="347" spans="1:2" x14ac:dyDescent="0.25">
      <c r="A347" t="s">
        <v>2992</v>
      </c>
      <c r="B347">
        <v>154022</v>
      </c>
    </row>
    <row r="348" spans="1:2" x14ac:dyDescent="0.25">
      <c r="A348" t="s">
        <v>2993</v>
      </c>
      <c r="B348">
        <v>156231</v>
      </c>
    </row>
    <row r="349" spans="1:2" x14ac:dyDescent="0.25">
      <c r="A349" t="s">
        <v>2994</v>
      </c>
      <c r="B349">
        <v>201098</v>
      </c>
    </row>
    <row r="350" spans="1:2" x14ac:dyDescent="0.25">
      <c r="A350" t="s">
        <v>2995</v>
      </c>
      <c r="B350">
        <v>201104</v>
      </c>
    </row>
    <row r="351" spans="1:2" x14ac:dyDescent="0.25">
      <c r="A351" t="s">
        <v>2996</v>
      </c>
      <c r="B351">
        <v>201131</v>
      </c>
    </row>
    <row r="352" spans="1:2" x14ac:dyDescent="0.25">
      <c r="A352" t="s">
        <v>2997</v>
      </c>
      <c r="B352">
        <v>475431</v>
      </c>
    </row>
    <row r="353" spans="1:2" x14ac:dyDescent="0.25">
      <c r="A353" t="s">
        <v>2998</v>
      </c>
      <c r="B353">
        <v>393861</v>
      </c>
    </row>
    <row r="354" spans="1:2" x14ac:dyDescent="0.25">
      <c r="A354" t="s">
        <v>2999</v>
      </c>
      <c r="B354">
        <v>391546</v>
      </c>
    </row>
    <row r="355" spans="1:2" x14ac:dyDescent="0.25">
      <c r="A355" t="s">
        <v>3000</v>
      </c>
      <c r="B355">
        <v>128577</v>
      </c>
    </row>
    <row r="356" spans="1:2" x14ac:dyDescent="0.25">
      <c r="A356" t="s">
        <v>3001</v>
      </c>
      <c r="B356">
        <v>480994</v>
      </c>
    </row>
    <row r="357" spans="1:2" x14ac:dyDescent="0.25">
      <c r="A357" t="s">
        <v>3002</v>
      </c>
      <c r="B357">
        <v>454829</v>
      </c>
    </row>
    <row r="358" spans="1:2" x14ac:dyDescent="0.25">
      <c r="A358" t="s">
        <v>3003</v>
      </c>
      <c r="B358">
        <v>214023</v>
      </c>
    </row>
    <row r="359" spans="1:2" x14ac:dyDescent="0.25">
      <c r="A359" t="s">
        <v>3004</v>
      </c>
      <c r="B359">
        <v>164535</v>
      </c>
    </row>
    <row r="360" spans="1:2" x14ac:dyDescent="0.25">
      <c r="A360" t="s">
        <v>3005</v>
      </c>
      <c r="B360">
        <v>485494</v>
      </c>
    </row>
    <row r="361" spans="1:2" x14ac:dyDescent="0.25">
      <c r="A361" t="s">
        <v>3006</v>
      </c>
      <c r="B361">
        <v>188942</v>
      </c>
    </row>
    <row r="362" spans="1:2" x14ac:dyDescent="0.25">
      <c r="A362" t="s">
        <v>3007</v>
      </c>
      <c r="B362">
        <v>109721</v>
      </c>
    </row>
    <row r="363" spans="1:2" x14ac:dyDescent="0.25">
      <c r="A363" t="s">
        <v>3008</v>
      </c>
      <c r="B363">
        <v>109730</v>
      </c>
    </row>
    <row r="364" spans="1:2" x14ac:dyDescent="0.25">
      <c r="A364" t="s">
        <v>3009</v>
      </c>
      <c r="B364">
        <v>183600</v>
      </c>
    </row>
    <row r="365" spans="1:2" x14ac:dyDescent="0.25">
      <c r="A365" t="s">
        <v>3010</v>
      </c>
      <c r="B365">
        <v>164562</v>
      </c>
    </row>
    <row r="366" spans="1:2" x14ac:dyDescent="0.25">
      <c r="A366" t="s">
        <v>3011</v>
      </c>
      <c r="B366">
        <v>446127</v>
      </c>
    </row>
    <row r="367" spans="1:2" x14ac:dyDescent="0.25">
      <c r="A367" t="s">
        <v>3012</v>
      </c>
      <c r="B367">
        <v>444361</v>
      </c>
    </row>
    <row r="368" spans="1:2" x14ac:dyDescent="0.25">
      <c r="A368" t="s">
        <v>3012</v>
      </c>
      <c r="B368">
        <v>447935</v>
      </c>
    </row>
    <row r="369" spans="1:2" x14ac:dyDescent="0.25">
      <c r="A369" t="s">
        <v>3012</v>
      </c>
      <c r="B369">
        <v>449728</v>
      </c>
    </row>
    <row r="370" spans="1:2" x14ac:dyDescent="0.25">
      <c r="A370" t="s">
        <v>3013</v>
      </c>
      <c r="B370">
        <v>452373</v>
      </c>
    </row>
    <row r="371" spans="1:2" x14ac:dyDescent="0.25">
      <c r="A371" t="s">
        <v>3014</v>
      </c>
      <c r="B371">
        <v>461768</v>
      </c>
    </row>
    <row r="372" spans="1:2" x14ac:dyDescent="0.25">
      <c r="A372" t="s">
        <v>3015</v>
      </c>
      <c r="B372">
        <v>440651</v>
      </c>
    </row>
    <row r="373" spans="1:2" x14ac:dyDescent="0.25">
      <c r="A373" t="s">
        <v>3016</v>
      </c>
      <c r="B373">
        <v>476683</v>
      </c>
    </row>
    <row r="374" spans="1:2" x14ac:dyDescent="0.25">
      <c r="A374" t="s">
        <v>3017</v>
      </c>
      <c r="B374">
        <v>201140</v>
      </c>
    </row>
    <row r="375" spans="1:2" x14ac:dyDescent="0.25">
      <c r="A375" t="s">
        <v>3018</v>
      </c>
      <c r="B375">
        <v>100812</v>
      </c>
    </row>
    <row r="376" spans="1:2" x14ac:dyDescent="0.25">
      <c r="A376" t="s">
        <v>3019</v>
      </c>
      <c r="B376">
        <v>246813</v>
      </c>
    </row>
    <row r="377" spans="1:2" x14ac:dyDescent="0.25">
      <c r="A377" t="s">
        <v>3020</v>
      </c>
      <c r="B377">
        <v>444325</v>
      </c>
    </row>
    <row r="378" spans="1:2" x14ac:dyDescent="0.25">
      <c r="A378" t="s">
        <v>3021</v>
      </c>
      <c r="B378">
        <v>419244</v>
      </c>
    </row>
    <row r="379" spans="1:2" x14ac:dyDescent="0.25">
      <c r="A379" t="s">
        <v>3022</v>
      </c>
      <c r="B379">
        <v>138901</v>
      </c>
    </row>
    <row r="380" spans="1:2" x14ac:dyDescent="0.25">
      <c r="A380" t="s">
        <v>3023</v>
      </c>
      <c r="B380">
        <v>138938</v>
      </c>
    </row>
    <row r="381" spans="1:2" x14ac:dyDescent="0.25">
      <c r="A381" t="s">
        <v>3024</v>
      </c>
      <c r="B381">
        <v>138840</v>
      </c>
    </row>
    <row r="382" spans="1:2" x14ac:dyDescent="0.25">
      <c r="A382" t="s">
        <v>3025</v>
      </c>
      <c r="B382">
        <v>138929</v>
      </c>
    </row>
    <row r="383" spans="1:2" x14ac:dyDescent="0.25">
      <c r="A383" t="s">
        <v>3026</v>
      </c>
      <c r="B383">
        <v>183655</v>
      </c>
    </row>
    <row r="384" spans="1:2" x14ac:dyDescent="0.25">
      <c r="A384" t="s">
        <v>3027</v>
      </c>
      <c r="B384">
        <v>439446</v>
      </c>
    </row>
    <row r="385" spans="1:2" x14ac:dyDescent="0.25">
      <c r="A385" t="s">
        <v>3028</v>
      </c>
      <c r="B385">
        <v>132374</v>
      </c>
    </row>
    <row r="386" spans="1:2" x14ac:dyDescent="0.25">
      <c r="A386" t="s">
        <v>3029</v>
      </c>
      <c r="B386">
        <v>241216</v>
      </c>
    </row>
    <row r="387" spans="1:2" x14ac:dyDescent="0.25">
      <c r="A387" t="s">
        <v>3030</v>
      </c>
      <c r="B387">
        <v>485768</v>
      </c>
    </row>
    <row r="388" spans="1:2" x14ac:dyDescent="0.25">
      <c r="A388" t="s">
        <v>3031</v>
      </c>
      <c r="B388">
        <v>201159</v>
      </c>
    </row>
    <row r="389" spans="1:2" x14ac:dyDescent="0.25">
      <c r="A389" t="s">
        <v>3032</v>
      </c>
      <c r="B389">
        <v>100858</v>
      </c>
    </row>
    <row r="390" spans="1:2" x14ac:dyDescent="0.25">
      <c r="A390" t="s">
        <v>3033</v>
      </c>
      <c r="B390">
        <v>100830</v>
      </c>
    </row>
    <row r="391" spans="1:2" x14ac:dyDescent="0.25">
      <c r="A391" t="s">
        <v>3034</v>
      </c>
      <c r="B391">
        <v>173045</v>
      </c>
    </row>
    <row r="392" spans="1:2" x14ac:dyDescent="0.25">
      <c r="A392" t="s">
        <v>3035</v>
      </c>
      <c r="B392">
        <v>447917</v>
      </c>
    </row>
    <row r="393" spans="1:2" x14ac:dyDescent="0.25">
      <c r="A393" t="s">
        <v>3036</v>
      </c>
      <c r="B393">
        <v>138956</v>
      </c>
    </row>
    <row r="394" spans="1:2" x14ac:dyDescent="0.25">
      <c r="A394" t="s">
        <v>3037</v>
      </c>
      <c r="B394">
        <v>482149</v>
      </c>
    </row>
    <row r="395" spans="1:2" x14ac:dyDescent="0.25">
      <c r="A395" t="s">
        <v>3038</v>
      </c>
      <c r="B395">
        <v>143084</v>
      </c>
    </row>
    <row r="396" spans="1:2" x14ac:dyDescent="0.25">
      <c r="A396" t="s">
        <v>3039</v>
      </c>
      <c r="B396">
        <v>219000</v>
      </c>
    </row>
    <row r="397" spans="1:2" x14ac:dyDescent="0.25">
      <c r="A397" t="s">
        <v>3040</v>
      </c>
      <c r="B397">
        <v>444556</v>
      </c>
    </row>
    <row r="398" spans="1:2" x14ac:dyDescent="0.25">
      <c r="A398" t="s">
        <v>3041</v>
      </c>
      <c r="B398">
        <v>454810</v>
      </c>
    </row>
    <row r="399" spans="1:2" x14ac:dyDescent="0.25">
      <c r="A399" t="s">
        <v>3042</v>
      </c>
      <c r="B399">
        <v>201177</v>
      </c>
    </row>
    <row r="400" spans="1:2" x14ac:dyDescent="0.25">
      <c r="A400" t="s">
        <v>3043</v>
      </c>
      <c r="B400">
        <v>143118</v>
      </c>
    </row>
    <row r="401" spans="1:2" x14ac:dyDescent="0.25">
      <c r="A401" t="s">
        <v>3044</v>
      </c>
      <c r="B401">
        <v>495129</v>
      </c>
    </row>
    <row r="402" spans="1:2" x14ac:dyDescent="0.25">
      <c r="A402" t="s">
        <v>3045</v>
      </c>
      <c r="B402">
        <v>222983</v>
      </c>
    </row>
    <row r="403" spans="1:2" x14ac:dyDescent="0.25">
      <c r="A403" t="s">
        <v>3046</v>
      </c>
      <c r="B403">
        <v>222992</v>
      </c>
    </row>
    <row r="404" spans="1:2" x14ac:dyDescent="0.25">
      <c r="A404" t="s">
        <v>3047</v>
      </c>
      <c r="B404">
        <v>247825</v>
      </c>
    </row>
    <row r="405" spans="1:2" x14ac:dyDescent="0.25">
      <c r="A405" t="s">
        <v>3048</v>
      </c>
      <c r="B405">
        <v>476869</v>
      </c>
    </row>
    <row r="406" spans="1:2" x14ac:dyDescent="0.25">
      <c r="A406" t="s">
        <v>3049</v>
      </c>
      <c r="B406">
        <v>219602</v>
      </c>
    </row>
    <row r="407" spans="1:2" x14ac:dyDescent="0.25">
      <c r="A407" t="s">
        <v>3050</v>
      </c>
      <c r="B407">
        <v>223001</v>
      </c>
    </row>
    <row r="408" spans="1:2" x14ac:dyDescent="0.25">
      <c r="A408" t="s">
        <v>3051</v>
      </c>
      <c r="B408">
        <v>219851</v>
      </c>
    </row>
    <row r="409" spans="1:2" x14ac:dyDescent="0.25">
      <c r="A409" t="s">
        <v>3052</v>
      </c>
      <c r="B409">
        <v>418782</v>
      </c>
    </row>
    <row r="410" spans="1:2" x14ac:dyDescent="0.25">
      <c r="A410" t="s">
        <v>3053</v>
      </c>
      <c r="B410">
        <v>419703</v>
      </c>
    </row>
    <row r="411" spans="1:2" x14ac:dyDescent="0.25">
      <c r="A411" t="s">
        <v>3054</v>
      </c>
      <c r="B411">
        <v>419712</v>
      </c>
    </row>
    <row r="412" spans="1:2" x14ac:dyDescent="0.25">
      <c r="A412" t="s">
        <v>3055</v>
      </c>
      <c r="B412">
        <v>419721</v>
      </c>
    </row>
    <row r="413" spans="1:2" x14ac:dyDescent="0.25">
      <c r="A413" t="s">
        <v>3056</v>
      </c>
      <c r="B413">
        <v>211006</v>
      </c>
    </row>
    <row r="414" spans="1:2" x14ac:dyDescent="0.25">
      <c r="A414" t="s">
        <v>3057</v>
      </c>
      <c r="B414">
        <v>448770</v>
      </c>
    </row>
    <row r="415" spans="1:2" x14ac:dyDescent="0.25">
      <c r="A415" t="s">
        <v>3058</v>
      </c>
      <c r="B415">
        <v>365213</v>
      </c>
    </row>
    <row r="416" spans="1:2" x14ac:dyDescent="0.25">
      <c r="A416" t="s">
        <v>3059</v>
      </c>
      <c r="B416">
        <v>372356</v>
      </c>
    </row>
    <row r="417" spans="1:2" x14ac:dyDescent="0.25">
      <c r="A417" t="s">
        <v>3060</v>
      </c>
      <c r="B417">
        <v>497301</v>
      </c>
    </row>
    <row r="418" spans="1:2" x14ac:dyDescent="0.25">
      <c r="A418" t="s">
        <v>3061</v>
      </c>
      <c r="B418">
        <v>474924</v>
      </c>
    </row>
    <row r="419" spans="1:2" x14ac:dyDescent="0.25">
      <c r="A419" t="s">
        <v>3062</v>
      </c>
      <c r="B419">
        <v>104568</v>
      </c>
    </row>
    <row r="420" spans="1:2" x14ac:dyDescent="0.25">
      <c r="A420" t="s">
        <v>3063</v>
      </c>
      <c r="B420">
        <v>474915</v>
      </c>
    </row>
    <row r="421" spans="1:2" x14ac:dyDescent="0.25">
      <c r="A421" t="s">
        <v>3064</v>
      </c>
      <c r="B421">
        <v>457679</v>
      </c>
    </row>
    <row r="422" spans="1:2" x14ac:dyDescent="0.25">
      <c r="A422" t="s">
        <v>3065</v>
      </c>
      <c r="B422">
        <v>442295</v>
      </c>
    </row>
    <row r="423" spans="1:2" x14ac:dyDescent="0.25">
      <c r="A423" t="s">
        <v>3066</v>
      </c>
      <c r="B423">
        <v>446048</v>
      </c>
    </row>
    <row r="424" spans="1:2" x14ac:dyDescent="0.25">
      <c r="A424" t="s">
        <v>3067</v>
      </c>
      <c r="B424">
        <v>173744</v>
      </c>
    </row>
    <row r="425" spans="1:2" x14ac:dyDescent="0.25">
      <c r="A425" t="s">
        <v>3068</v>
      </c>
      <c r="B425">
        <v>458131</v>
      </c>
    </row>
    <row r="426" spans="1:2" x14ac:dyDescent="0.25">
      <c r="A426" t="s">
        <v>3069</v>
      </c>
      <c r="B426">
        <v>159513</v>
      </c>
    </row>
    <row r="427" spans="1:2" x14ac:dyDescent="0.25">
      <c r="A427" t="s">
        <v>3070</v>
      </c>
      <c r="B427">
        <v>160320</v>
      </c>
    </row>
    <row r="428" spans="1:2" x14ac:dyDescent="0.25">
      <c r="A428" t="s">
        <v>3071</v>
      </c>
      <c r="B428">
        <v>159522</v>
      </c>
    </row>
    <row r="429" spans="1:2" x14ac:dyDescent="0.25">
      <c r="A429" t="s">
        <v>3072</v>
      </c>
      <c r="B429">
        <v>448071</v>
      </c>
    </row>
    <row r="430" spans="1:2" x14ac:dyDescent="0.25">
      <c r="A430" t="s">
        <v>3073</v>
      </c>
      <c r="B430">
        <v>455354</v>
      </c>
    </row>
    <row r="431" spans="1:2" x14ac:dyDescent="0.25">
      <c r="A431" t="s">
        <v>3074</v>
      </c>
      <c r="B431">
        <v>451468</v>
      </c>
    </row>
    <row r="432" spans="1:2" x14ac:dyDescent="0.25">
      <c r="A432" t="s">
        <v>3075</v>
      </c>
      <c r="B432">
        <v>457563</v>
      </c>
    </row>
    <row r="433" spans="1:2" x14ac:dyDescent="0.25">
      <c r="A433" t="s">
        <v>3076</v>
      </c>
      <c r="B433">
        <v>487348</v>
      </c>
    </row>
    <row r="434" spans="1:2" x14ac:dyDescent="0.25">
      <c r="A434" t="s">
        <v>3077</v>
      </c>
      <c r="B434">
        <v>461652</v>
      </c>
    </row>
    <row r="435" spans="1:2" x14ac:dyDescent="0.25">
      <c r="A435" t="s">
        <v>3078</v>
      </c>
      <c r="B435">
        <v>455141</v>
      </c>
    </row>
    <row r="436" spans="1:2" x14ac:dyDescent="0.25">
      <c r="A436" t="s">
        <v>3079</v>
      </c>
      <c r="B436">
        <v>455877</v>
      </c>
    </row>
    <row r="437" spans="1:2" x14ac:dyDescent="0.25">
      <c r="A437" t="s">
        <v>3080</v>
      </c>
      <c r="B437">
        <v>455275</v>
      </c>
    </row>
    <row r="438" spans="1:2" x14ac:dyDescent="0.25">
      <c r="A438" t="s">
        <v>3081</v>
      </c>
      <c r="B438">
        <v>459277</v>
      </c>
    </row>
    <row r="439" spans="1:2" x14ac:dyDescent="0.25">
      <c r="A439" t="s">
        <v>3082</v>
      </c>
      <c r="B439">
        <v>475015</v>
      </c>
    </row>
    <row r="440" spans="1:2" x14ac:dyDescent="0.25">
      <c r="A440" t="s">
        <v>3083</v>
      </c>
      <c r="B440">
        <v>469957</v>
      </c>
    </row>
    <row r="441" spans="1:2" x14ac:dyDescent="0.25">
      <c r="A441" t="s">
        <v>3084</v>
      </c>
      <c r="B441">
        <v>487506</v>
      </c>
    </row>
    <row r="442" spans="1:2" x14ac:dyDescent="0.25">
      <c r="A442" t="s">
        <v>3085</v>
      </c>
      <c r="B442">
        <v>162830</v>
      </c>
    </row>
    <row r="443" spans="1:2" x14ac:dyDescent="0.25">
      <c r="A443" t="s">
        <v>3086</v>
      </c>
      <c r="B443">
        <v>461555</v>
      </c>
    </row>
    <row r="444" spans="1:2" x14ac:dyDescent="0.25">
      <c r="A444" t="s">
        <v>3087</v>
      </c>
      <c r="B444">
        <v>484899</v>
      </c>
    </row>
    <row r="445" spans="1:2" x14ac:dyDescent="0.25">
      <c r="A445" t="s">
        <v>3088</v>
      </c>
      <c r="B445">
        <v>460862</v>
      </c>
    </row>
    <row r="446" spans="1:2" x14ac:dyDescent="0.25">
      <c r="A446" t="s">
        <v>3089</v>
      </c>
      <c r="B446">
        <v>451574</v>
      </c>
    </row>
    <row r="447" spans="1:2" x14ac:dyDescent="0.25">
      <c r="A447" t="s">
        <v>3090</v>
      </c>
      <c r="B447">
        <v>451149</v>
      </c>
    </row>
    <row r="448" spans="1:2" x14ac:dyDescent="0.25">
      <c r="A448" t="s">
        <v>3091</v>
      </c>
      <c r="B448">
        <v>451158</v>
      </c>
    </row>
    <row r="449" spans="1:2" x14ac:dyDescent="0.25">
      <c r="A449" t="s">
        <v>3092</v>
      </c>
      <c r="B449">
        <v>476753</v>
      </c>
    </row>
    <row r="450" spans="1:2" x14ac:dyDescent="0.25">
      <c r="A450" t="s">
        <v>3093</v>
      </c>
      <c r="B450">
        <v>142407</v>
      </c>
    </row>
    <row r="451" spans="1:2" x14ac:dyDescent="0.25">
      <c r="A451" t="s">
        <v>3094</v>
      </c>
      <c r="B451">
        <v>491826</v>
      </c>
    </row>
    <row r="452" spans="1:2" x14ac:dyDescent="0.25">
      <c r="A452" t="s">
        <v>3095</v>
      </c>
      <c r="B452">
        <v>458070</v>
      </c>
    </row>
    <row r="453" spans="1:2" x14ac:dyDescent="0.25">
      <c r="A453" t="s">
        <v>3096</v>
      </c>
      <c r="B453">
        <v>494524</v>
      </c>
    </row>
    <row r="454" spans="1:2" x14ac:dyDescent="0.25">
      <c r="A454" t="s">
        <v>3097</v>
      </c>
      <c r="B454">
        <v>219170</v>
      </c>
    </row>
    <row r="455" spans="1:2" x14ac:dyDescent="0.25">
      <c r="A455" t="s">
        <v>3098</v>
      </c>
      <c r="B455">
        <v>219338</v>
      </c>
    </row>
    <row r="456" spans="1:2" x14ac:dyDescent="0.25">
      <c r="A456" t="s">
        <v>3099</v>
      </c>
      <c r="B456">
        <v>231420</v>
      </c>
    </row>
    <row r="457" spans="1:2" x14ac:dyDescent="0.25">
      <c r="A457" t="s">
        <v>3100</v>
      </c>
      <c r="B457">
        <v>449931</v>
      </c>
    </row>
    <row r="458" spans="1:2" x14ac:dyDescent="0.25">
      <c r="A458" t="s">
        <v>3101</v>
      </c>
      <c r="B458">
        <v>158778</v>
      </c>
    </row>
    <row r="459" spans="1:2" x14ac:dyDescent="0.25">
      <c r="A459" t="s">
        <v>3102</v>
      </c>
      <c r="B459">
        <v>448257</v>
      </c>
    </row>
    <row r="460" spans="1:2" x14ac:dyDescent="0.25">
      <c r="A460" t="s">
        <v>3103</v>
      </c>
      <c r="B460">
        <v>440059</v>
      </c>
    </row>
    <row r="461" spans="1:2" x14ac:dyDescent="0.25">
      <c r="A461" t="s">
        <v>3104</v>
      </c>
      <c r="B461">
        <v>494764</v>
      </c>
    </row>
    <row r="462" spans="1:2" x14ac:dyDescent="0.25">
      <c r="A462" t="s">
        <v>3105</v>
      </c>
      <c r="B462">
        <v>441788</v>
      </c>
    </row>
    <row r="463" spans="1:2" x14ac:dyDescent="0.25">
      <c r="A463" t="s">
        <v>3106</v>
      </c>
      <c r="B463">
        <v>486558</v>
      </c>
    </row>
    <row r="464" spans="1:2" x14ac:dyDescent="0.25">
      <c r="A464" t="s">
        <v>3107</v>
      </c>
      <c r="B464">
        <v>227748</v>
      </c>
    </row>
    <row r="465" spans="1:2" x14ac:dyDescent="0.25">
      <c r="A465" t="s">
        <v>3108</v>
      </c>
      <c r="B465">
        <v>438735</v>
      </c>
    </row>
    <row r="466" spans="1:2" x14ac:dyDescent="0.25">
      <c r="A466" t="s">
        <v>3109</v>
      </c>
      <c r="B466">
        <v>441496</v>
      </c>
    </row>
    <row r="467" spans="1:2" x14ac:dyDescent="0.25">
      <c r="A467" t="s">
        <v>3110</v>
      </c>
      <c r="B467">
        <v>482255</v>
      </c>
    </row>
    <row r="468" spans="1:2" x14ac:dyDescent="0.25">
      <c r="A468" t="s">
        <v>3111</v>
      </c>
      <c r="B468">
        <v>445762</v>
      </c>
    </row>
    <row r="469" spans="1:2" x14ac:dyDescent="0.25">
      <c r="A469" t="s">
        <v>3112</v>
      </c>
      <c r="B469">
        <v>427973</v>
      </c>
    </row>
    <row r="470" spans="1:2" x14ac:dyDescent="0.25">
      <c r="A470" t="s">
        <v>3113</v>
      </c>
      <c r="B470">
        <v>457411</v>
      </c>
    </row>
    <row r="471" spans="1:2" x14ac:dyDescent="0.25">
      <c r="A471" t="s">
        <v>3114</v>
      </c>
      <c r="B471">
        <v>250285</v>
      </c>
    </row>
    <row r="472" spans="1:2" x14ac:dyDescent="0.25">
      <c r="A472" t="s">
        <v>3115</v>
      </c>
      <c r="B472">
        <v>187000</v>
      </c>
    </row>
    <row r="473" spans="1:2" x14ac:dyDescent="0.25">
      <c r="A473" t="s">
        <v>3116</v>
      </c>
      <c r="B473">
        <v>447847</v>
      </c>
    </row>
    <row r="474" spans="1:2" x14ac:dyDescent="0.25">
      <c r="A474" t="s">
        <v>3117</v>
      </c>
      <c r="B474">
        <v>176628</v>
      </c>
    </row>
    <row r="475" spans="1:2" x14ac:dyDescent="0.25">
      <c r="A475" t="s">
        <v>3118</v>
      </c>
      <c r="B475">
        <v>161800</v>
      </c>
    </row>
    <row r="476" spans="1:2" x14ac:dyDescent="0.25">
      <c r="A476" t="s">
        <v>3119</v>
      </c>
      <c r="B476">
        <v>158246</v>
      </c>
    </row>
    <row r="477" spans="1:2" x14ac:dyDescent="0.25">
      <c r="A477" t="s">
        <v>3120</v>
      </c>
      <c r="B477">
        <v>109785</v>
      </c>
    </row>
    <row r="478" spans="1:2" x14ac:dyDescent="0.25">
      <c r="A478" t="s">
        <v>3121</v>
      </c>
      <c r="B478">
        <v>237145</v>
      </c>
    </row>
    <row r="479" spans="1:2" x14ac:dyDescent="0.25">
      <c r="A479" t="s">
        <v>3122</v>
      </c>
      <c r="B479">
        <v>164580</v>
      </c>
    </row>
    <row r="480" spans="1:2" x14ac:dyDescent="0.25">
      <c r="A480" t="s">
        <v>3123</v>
      </c>
      <c r="B480">
        <v>206817</v>
      </c>
    </row>
    <row r="481" spans="1:2" x14ac:dyDescent="0.25">
      <c r="A481" t="s">
        <v>3124</v>
      </c>
      <c r="B481">
        <v>128586</v>
      </c>
    </row>
    <row r="482" spans="1:2" x14ac:dyDescent="0.25">
      <c r="A482" t="s">
        <v>3125</v>
      </c>
      <c r="B482">
        <v>476601</v>
      </c>
    </row>
    <row r="483" spans="1:2" x14ac:dyDescent="0.25">
      <c r="A483" t="s">
        <v>3126</v>
      </c>
      <c r="B483">
        <v>245777</v>
      </c>
    </row>
    <row r="484" spans="1:2" x14ac:dyDescent="0.25">
      <c r="A484" t="s">
        <v>3127</v>
      </c>
      <c r="B484">
        <v>490513</v>
      </c>
    </row>
    <row r="485" spans="1:2" x14ac:dyDescent="0.25">
      <c r="A485" t="s">
        <v>3128</v>
      </c>
      <c r="B485">
        <v>495031</v>
      </c>
    </row>
    <row r="486" spans="1:2" x14ac:dyDescent="0.25">
      <c r="A486" t="s">
        <v>3129</v>
      </c>
      <c r="B486">
        <v>449658</v>
      </c>
    </row>
    <row r="487" spans="1:2" x14ac:dyDescent="0.25">
      <c r="A487" t="s">
        <v>3130</v>
      </c>
      <c r="B487">
        <v>168847</v>
      </c>
    </row>
    <row r="488" spans="1:2" x14ac:dyDescent="0.25">
      <c r="A488" t="s">
        <v>3131</v>
      </c>
      <c r="B488">
        <v>154688</v>
      </c>
    </row>
    <row r="489" spans="1:2" x14ac:dyDescent="0.25">
      <c r="A489" t="s">
        <v>3132</v>
      </c>
      <c r="B489">
        <v>109819</v>
      </c>
    </row>
    <row r="490" spans="1:2" x14ac:dyDescent="0.25">
      <c r="A490" t="s">
        <v>3133</v>
      </c>
      <c r="B490">
        <v>420705</v>
      </c>
    </row>
    <row r="491" spans="1:2" x14ac:dyDescent="0.25">
      <c r="A491" t="s">
        <v>3134</v>
      </c>
      <c r="B491">
        <v>414489</v>
      </c>
    </row>
    <row r="492" spans="1:2" x14ac:dyDescent="0.25">
      <c r="A492" t="s">
        <v>3135</v>
      </c>
      <c r="B492">
        <v>223056</v>
      </c>
    </row>
    <row r="493" spans="1:2" x14ac:dyDescent="0.25">
      <c r="A493" t="s">
        <v>3136</v>
      </c>
      <c r="B493">
        <v>417105</v>
      </c>
    </row>
    <row r="494" spans="1:2" x14ac:dyDescent="0.25">
      <c r="A494" t="s">
        <v>3137</v>
      </c>
      <c r="B494">
        <v>201195</v>
      </c>
    </row>
    <row r="495" spans="1:2" x14ac:dyDescent="0.25">
      <c r="A495" t="s">
        <v>3138</v>
      </c>
      <c r="B495">
        <v>490212</v>
      </c>
    </row>
    <row r="496" spans="1:2" x14ac:dyDescent="0.25">
      <c r="A496" t="s">
        <v>3139</v>
      </c>
      <c r="B496">
        <v>150136</v>
      </c>
    </row>
    <row r="497" spans="1:2" x14ac:dyDescent="0.25">
      <c r="A497" t="s">
        <v>3140</v>
      </c>
      <c r="B497">
        <v>161864</v>
      </c>
    </row>
    <row r="498" spans="1:2" x14ac:dyDescent="0.25">
      <c r="A498" t="s">
        <v>3141</v>
      </c>
      <c r="B498">
        <v>161855</v>
      </c>
    </row>
    <row r="499" spans="1:2" x14ac:dyDescent="0.25">
      <c r="A499" t="s">
        <v>3142</v>
      </c>
      <c r="B499">
        <v>164599</v>
      </c>
    </row>
    <row r="500" spans="1:2" x14ac:dyDescent="0.25">
      <c r="A500" t="s">
        <v>3143</v>
      </c>
      <c r="B500">
        <v>189015</v>
      </c>
    </row>
    <row r="501" spans="1:2" x14ac:dyDescent="0.25">
      <c r="A501" t="s">
        <v>3144</v>
      </c>
      <c r="B501">
        <v>176664</v>
      </c>
    </row>
    <row r="502" spans="1:2" x14ac:dyDescent="0.25">
      <c r="A502" t="s">
        <v>3145</v>
      </c>
      <c r="B502">
        <v>106546</v>
      </c>
    </row>
    <row r="503" spans="1:2" x14ac:dyDescent="0.25">
      <c r="A503" t="s">
        <v>3146</v>
      </c>
      <c r="B503">
        <v>219639</v>
      </c>
    </row>
    <row r="504" spans="1:2" x14ac:dyDescent="0.25">
      <c r="A504" t="s">
        <v>3147</v>
      </c>
      <c r="B504">
        <v>223083</v>
      </c>
    </row>
    <row r="505" spans="1:2" x14ac:dyDescent="0.25">
      <c r="A505" t="s">
        <v>3148</v>
      </c>
      <c r="B505">
        <v>223117</v>
      </c>
    </row>
    <row r="506" spans="1:2" x14ac:dyDescent="0.25">
      <c r="A506" t="s">
        <v>3149</v>
      </c>
      <c r="B506">
        <v>444398</v>
      </c>
    </row>
    <row r="507" spans="1:2" x14ac:dyDescent="0.25">
      <c r="A507" t="s">
        <v>3150</v>
      </c>
      <c r="B507">
        <v>476610</v>
      </c>
    </row>
    <row r="508" spans="1:2" x14ac:dyDescent="0.25">
      <c r="A508" t="s">
        <v>3151</v>
      </c>
      <c r="B508">
        <v>483346</v>
      </c>
    </row>
    <row r="509" spans="1:2" x14ac:dyDescent="0.25">
      <c r="A509" t="s">
        <v>3152</v>
      </c>
      <c r="B509">
        <v>484048</v>
      </c>
    </row>
    <row r="510" spans="1:2" x14ac:dyDescent="0.25">
      <c r="A510" t="s">
        <v>3153</v>
      </c>
      <c r="B510">
        <v>483054</v>
      </c>
    </row>
    <row r="511" spans="1:2" x14ac:dyDescent="0.25">
      <c r="A511" t="s">
        <v>3154</v>
      </c>
      <c r="B511">
        <v>488022</v>
      </c>
    </row>
    <row r="512" spans="1:2" x14ac:dyDescent="0.25">
      <c r="A512" t="s">
        <v>3155</v>
      </c>
      <c r="B512">
        <v>155070</v>
      </c>
    </row>
    <row r="513" spans="1:2" x14ac:dyDescent="0.25">
      <c r="A513" t="s">
        <v>3156</v>
      </c>
      <c r="B513">
        <v>189088</v>
      </c>
    </row>
    <row r="514" spans="1:2" x14ac:dyDescent="0.25">
      <c r="A514" t="s">
        <v>3157</v>
      </c>
      <c r="B514">
        <v>167792</v>
      </c>
    </row>
    <row r="515" spans="1:2" x14ac:dyDescent="0.25">
      <c r="A515" t="s">
        <v>3158</v>
      </c>
      <c r="B515">
        <v>189097</v>
      </c>
    </row>
    <row r="516" spans="1:2" x14ac:dyDescent="0.25">
      <c r="A516" t="s">
        <v>3159</v>
      </c>
      <c r="B516">
        <v>177719</v>
      </c>
    </row>
    <row r="517" spans="1:2" x14ac:dyDescent="0.25">
      <c r="A517" t="s">
        <v>3160</v>
      </c>
      <c r="B517">
        <v>156277</v>
      </c>
    </row>
    <row r="518" spans="1:2" x14ac:dyDescent="0.25">
      <c r="A518" t="s">
        <v>3161</v>
      </c>
      <c r="B518">
        <v>132471</v>
      </c>
    </row>
    <row r="519" spans="1:2" x14ac:dyDescent="0.25">
      <c r="A519" t="s">
        <v>3162</v>
      </c>
      <c r="B519">
        <v>109907</v>
      </c>
    </row>
    <row r="520" spans="1:2" x14ac:dyDescent="0.25">
      <c r="A520" t="s">
        <v>3163</v>
      </c>
      <c r="B520">
        <v>197911</v>
      </c>
    </row>
    <row r="521" spans="1:2" x14ac:dyDescent="0.25">
      <c r="A521" t="s">
        <v>3164</v>
      </c>
      <c r="B521">
        <v>154697</v>
      </c>
    </row>
    <row r="522" spans="1:2" x14ac:dyDescent="0.25">
      <c r="A522" t="s">
        <v>3165</v>
      </c>
      <c r="B522">
        <v>235547</v>
      </c>
    </row>
    <row r="523" spans="1:2" x14ac:dyDescent="0.25">
      <c r="A523" t="s">
        <v>3166</v>
      </c>
      <c r="B523">
        <v>160977</v>
      </c>
    </row>
    <row r="524" spans="1:2" x14ac:dyDescent="0.25">
      <c r="A524" t="s">
        <v>3167</v>
      </c>
      <c r="B524">
        <v>235671</v>
      </c>
    </row>
    <row r="525" spans="1:2" x14ac:dyDescent="0.25">
      <c r="A525" t="s">
        <v>3168</v>
      </c>
      <c r="B525">
        <v>437103</v>
      </c>
    </row>
    <row r="526" spans="1:2" x14ac:dyDescent="0.25">
      <c r="A526" t="s">
        <v>3169</v>
      </c>
      <c r="B526">
        <v>158325</v>
      </c>
    </row>
    <row r="527" spans="1:2" x14ac:dyDescent="0.25">
      <c r="A527" t="s">
        <v>3170</v>
      </c>
      <c r="B527">
        <v>158343</v>
      </c>
    </row>
    <row r="528" spans="1:2" x14ac:dyDescent="0.25">
      <c r="A528" t="s">
        <v>3171</v>
      </c>
      <c r="B528">
        <v>483878</v>
      </c>
    </row>
    <row r="529" spans="1:2" x14ac:dyDescent="0.25">
      <c r="A529" t="s">
        <v>3172</v>
      </c>
      <c r="B529">
        <v>168883</v>
      </c>
    </row>
    <row r="530" spans="1:2" x14ac:dyDescent="0.25">
      <c r="A530" t="s">
        <v>3173</v>
      </c>
      <c r="B530">
        <v>380359</v>
      </c>
    </row>
    <row r="531" spans="1:2" x14ac:dyDescent="0.25">
      <c r="A531" t="s">
        <v>3174</v>
      </c>
      <c r="B531">
        <v>164632</v>
      </c>
    </row>
    <row r="532" spans="1:2" x14ac:dyDescent="0.25">
      <c r="A532" t="s">
        <v>3175</v>
      </c>
      <c r="B532">
        <v>164641</v>
      </c>
    </row>
    <row r="533" spans="1:2" x14ac:dyDescent="0.25">
      <c r="A533" t="s">
        <v>3176</v>
      </c>
      <c r="B533">
        <v>444194</v>
      </c>
    </row>
    <row r="534" spans="1:2" x14ac:dyDescent="0.25">
      <c r="A534" t="s">
        <v>3177</v>
      </c>
      <c r="B534">
        <v>223223</v>
      </c>
    </row>
    <row r="535" spans="1:2" x14ac:dyDescent="0.25">
      <c r="A535" t="s">
        <v>3178</v>
      </c>
      <c r="B535">
        <v>223232</v>
      </c>
    </row>
    <row r="536" spans="1:2" x14ac:dyDescent="0.25">
      <c r="A536" t="s">
        <v>3179</v>
      </c>
      <c r="B536">
        <v>168892</v>
      </c>
    </row>
    <row r="537" spans="1:2" x14ac:dyDescent="0.25">
      <c r="A537" t="s">
        <v>3180</v>
      </c>
      <c r="B537">
        <v>384254</v>
      </c>
    </row>
    <row r="538" spans="1:2" x14ac:dyDescent="0.25">
      <c r="A538" t="s">
        <v>3181</v>
      </c>
      <c r="B538">
        <v>160995</v>
      </c>
    </row>
    <row r="539" spans="1:2" x14ac:dyDescent="0.25">
      <c r="A539" t="s">
        <v>3182</v>
      </c>
      <c r="B539">
        <v>485166</v>
      </c>
    </row>
    <row r="540" spans="1:2" x14ac:dyDescent="0.25">
      <c r="A540" t="s">
        <v>3183</v>
      </c>
      <c r="B540">
        <v>197966</v>
      </c>
    </row>
    <row r="541" spans="1:2" x14ac:dyDescent="0.25">
      <c r="A541" t="s">
        <v>3184</v>
      </c>
      <c r="B541">
        <v>449357</v>
      </c>
    </row>
    <row r="542" spans="1:2" x14ac:dyDescent="0.25">
      <c r="A542" t="s">
        <v>3185</v>
      </c>
      <c r="B542">
        <v>460969</v>
      </c>
    </row>
    <row r="543" spans="1:2" x14ac:dyDescent="0.25">
      <c r="A543" t="s">
        <v>3186</v>
      </c>
      <c r="B543">
        <v>207272</v>
      </c>
    </row>
    <row r="544" spans="1:2" x14ac:dyDescent="0.25">
      <c r="A544" t="s">
        <v>3187</v>
      </c>
      <c r="B544">
        <v>215336</v>
      </c>
    </row>
    <row r="545" spans="1:2" x14ac:dyDescent="0.25">
      <c r="A545" t="s">
        <v>3188</v>
      </c>
      <c r="B545">
        <v>164720</v>
      </c>
    </row>
    <row r="546" spans="1:2" x14ac:dyDescent="0.25">
      <c r="A546" t="s">
        <v>3189</v>
      </c>
      <c r="B546">
        <v>247065</v>
      </c>
    </row>
    <row r="547" spans="1:2" x14ac:dyDescent="0.25">
      <c r="A547" t="s">
        <v>3190</v>
      </c>
      <c r="B547">
        <v>476717</v>
      </c>
    </row>
    <row r="548" spans="1:2" x14ac:dyDescent="0.25">
      <c r="A548" t="s">
        <v>3191</v>
      </c>
      <c r="B548">
        <v>444413</v>
      </c>
    </row>
    <row r="549" spans="1:2" x14ac:dyDescent="0.25">
      <c r="A549" t="s">
        <v>3192</v>
      </c>
      <c r="B549">
        <v>190956</v>
      </c>
    </row>
    <row r="550" spans="1:2" x14ac:dyDescent="0.25">
      <c r="A550" t="s">
        <v>3193</v>
      </c>
      <c r="B550">
        <v>175421</v>
      </c>
    </row>
    <row r="551" spans="1:2" x14ac:dyDescent="0.25">
      <c r="A551" t="s">
        <v>3194</v>
      </c>
      <c r="B551">
        <v>364760</v>
      </c>
    </row>
    <row r="552" spans="1:2" x14ac:dyDescent="0.25">
      <c r="A552" t="s">
        <v>3195</v>
      </c>
      <c r="B552">
        <v>486309</v>
      </c>
    </row>
    <row r="553" spans="1:2" x14ac:dyDescent="0.25">
      <c r="A553" t="s">
        <v>3196</v>
      </c>
      <c r="B553">
        <v>461193</v>
      </c>
    </row>
    <row r="554" spans="1:2" x14ac:dyDescent="0.25">
      <c r="A554" t="s">
        <v>3197</v>
      </c>
      <c r="B554">
        <v>483559</v>
      </c>
    </row>
    <row r="555" spans="1:2" x14ac:dyDescent="0.25">
      <c r="A555" t="s">
        <v>3198</v>
      </c>
      <c r="B555">
        <v>156286</v>
      </c>
    </row>
    <row r="556" spans="1:2" x14ac:dyDescent="0.25">
      <c r="A556" t="s">
        <v>3199</v>
      </c>
      <c r="B556">
        <v>493567</v>
      </c>
    </row>
    <row r="557" spans="1:2" x14ac:dyDescent="0.25">
      <c r="A557" t="s">
        <v>3200</v>
      </c>
      <c r="B557">
        <v>497091</v>
      </c>
    </row>
    <row r="558" spans="1:2" x14ac:dyDescent="0.25">
      <c r="A558" t="s">
        <v>3201</v>
      </c>
      <c r="B558">
        <v>481571</v>
      </c>
    </row>
    <row r="559" spans="1:2" x14ac:dyDescent="0.25">
      <c r="A559" t="s">
        <v>3202</v>
      </c>
      <c r="B559">
        <v>234669</v>
      </c>
    </row>
    <row r="560" spans="1:2" x14ac:dyDescent="0.25">
      <c r="A560" t="s">
        <v>3203</v>
      </c>
      <c r="B560">
        <v>180814</v>
      </c>
    </row>
    <row r="561" spans="1:2" x14ac:dyDescent="0.25">
      <c r="A561" t="s">
        <v>3204</v>
      </c>
      <c r="B561">
        <v>238324</v>
      </c>
    </row>
    <row r="562" spans="1:2" x14ac:dyDescent="0.25">
      <c r="A562" t="s">
        <v>3205</v>
      </c>
      <c r="B562">
        <v>234696</v>
      </c>
    </row>
    <row r="563" spans="1:2" x14ac:dyDescent="0.25">
      <c r="A563" t="s">
        <v>3206</v>
      </c>
      <c r="B563">
        <v>478953</v>
      </c>
    </row>
    <row r="564" spans="1:2" x14ac:dyDescent="0.25">
      <c r="A564" t="s">
        <v>3207</v>
      </c>
      <c r="B564">
        <v>109934</v>
      </c>
    </row>
    <row r="565" spans="1:2" x14ac:dyDescent="0.25">
      <c r="A565" t="s">
        <v>3208</v>
      </c>
      <c r="B565">
        <v>116563</v>
      </c>
    </row>
    <row r="566" spans="1:2" x14ac:dyDescent="0.25">
      <c r="A566" t="s">
        <v>3209</v>
      </c>
      <c r="B566">
        <v>377722</v>
      </c>
    </row>
    <row r="567" spans="1:2" x14ac:dyDescent="0.25">
      <c r="A567" t="s">
        <v>3210</v>
      </c>
      <c r="B567">
        <v>197984</v>
      </c>
    </row>
    <row r="568" spans="1:2" x14ac:dyDescent="0.25">
      <c r="A568" t="s">
        <v>3211</v>
      </c>
      <c r="B568">
        <v>201283</v>
      </c>
    </row>
    <row r="569" spans="1:2" x14ac:dyDescent="0.25">
      <c r="A569" t="s">
        <v>3212</v>
      </c>
      <c r="B569">
        <v>219709</v>
      </c>
    </row>
    <row r="570" spans="1:2" x14ac:dyDescent="0.25">
      <c r="A570" t="s">
        <v>3213</v>
      </c>
      <c r="B570">
        <v>238333</v>
      </c>
    </row>
    <row r="571" spans="1:2" x14ac:dyDescent="0.25">
      <c r="A571" t="s">
        <v>3214</v>
      </c>
      <c r="B571">
        <v>126359</v>
      </c>
    </row>
    <row r="572" spans="1:2" x14ac:dyDescent="0.25">
      <c r="A572" t="s">
        <v>3215</v>
      </c>
      <c r="B572">
        <v>173124</v>
      </c>
    </row>
    <row r="573" spans="1:2" x14ac:dyDescent="0.25">
      <c r="A573" t="s">
        <v>3216</v>
      </c>
      <c r="B573">
        <v>237172</v>
      </c>
    </row>
    <row r="574" spans="1:2" x14ac:dyDescent="0.25">
      <c r="A574" t="s">
        <v>3217</v>
      </c>
      <c r="B574">
        <v>217721</v>
      </c>
    </row>
    <row r="575" spans="1:2" x14ac:dyDescent="0.25">
      <c r="A575" t="s">
        <v>3218</v>
      </c>
      <c r="B575">
        <v>154712</v>
      </c>
    </row>
    <row r="576" spans="1:2" x14ac:dyDescent="0.25">
      <c r="A576" t="s">
        <v>3219</v>
      </c>
      <c r="B576">
        <v>145619</v>
      </c>
    </row>
    <row r="577" spans="1:2" x14ac:dyDescent="0.25">
      <c r="A577" t="s">
        <v>3220</v>
      </c>
      <c r="B577">
        <v>137591</v>
      </c>
    </row>
    <row r="578" spans="1:2" x14ac:dyDescent="0.25">
      <c r="A578" t="s">
        <v>3221</v>
      </c>
      <c r="B578">
        <v>165884</v>
      </c>
    </row>
    <row r="579" spans="1:2" x14ac:dyDescent="0.25">
      <c r="A579" t="s">
        <v>3222</v>
      </c>
      <c r="B579">
        <v>439473</v>
      </c>
    </row>
    <row r="580" spans="1:2" x14ac:dyDescent="0.25">
      <c r="A580" t="s">
        <v>3223</v>
      </c>
      <c r="B580">
        <v>197993</v>
      </c>
    </row>
    <row r="581" spans="1:2" x14ac:dyDescent="0.25">
      <c r="A581" t="s">
        <v>3224</v>
      </c>
      <c r="B581">
        <v>230816</v>
      </c>
    </row>
    <row r="582" spans="1:2" x14ac:dyDescent="0.25">
      <c r="A582" t="s">
        <v>3225</v>
      </c>
      <c r="B582">
        <v>164739</v>
      </c>
    </row>
    <row r="583" spans="1:2" x14ac:dyDescent="0.25">
      <c r="A583" t="s">
        <v>3226</v>
      </c>
      <c r="B583">
        <v>156295</v>
      </c>
    </row>
    <row r="584" spans="1:2" x14ac:dyDescent="0.25">
      <c r="A584" t="s">
        <v>3227</v>
      </c>
      <c r="B584">
        <v>183743</v>
      </c>
    </row>
    <row r="585" spans="1:2" x14ac:dyDescent="0.25">
      <c r="A585" t="s">
        <v>3228</v>
      </c>
      <c r="B585">
        <v>461643</v>
      </c>
    </row>
    <row r="586" spans="1:2" x14ac:dyDescent="0.25">
      <c r="A586" t="s">
        <v>3229</v>
      </c>
      <c r="B586">
        <v>189219</v>
      </c>
    </row>
    <row r="587" spans="1:2" x14ac:dyDescent="0.25">
      <c r="A587" t="s">
        <v>3230</v>
      </c>
      <c r="B587">
        <v>125170</v>
      </c>
    </row>
    <row r="588" spans="1:2" x14ac:dyDescent="0.25">
      <c r="A588" t="s">
        <v>3231</v>
      </c>
      <c r="B588">
        <v>189228</v>
      </c>
    </row>
    <row r="589" spans="1:2" x14ac:dyDescent="0.25">
      <c r="A589" t="s">
        <v>3232</v>
      </c>
      <c r="B589">
        <v>183789</v>
      </c>
    </row>
    <row r="590" spans="1:2" x14ac:dyDescent="0.25">
      <c r="A590" t="s">
        <v>3233</v>
      </c>
      <c r="B590">
        <v>108861</v>
      </c>
    </row>
    <row r="591" spans="1:2" x14ac:dyDescent="0.25">
      <c r="A591" t="s">
        <v>3234</v>
      </c>
      <c r="B591">
        <v>164748</v>
      </c>
    </row>
    <row r="592" spans="1:2" x14ac:dyDescent="0.25">
      <c r="A592" t="s">
        <v>3235</v>
      </c>
      <c r="B592">
        <v>189255</v>
      </c>
    </row>
    <row r="593" spans="1:2" x14ac:dyDescent="0.25">
      <c r="A593" t="s">
        <v>3236</v>
      </c>
      <c r="B593">
        <v>481021</v>
      </c>
    </row>
    <row r="594" spans="1:2" x14ac:dyDescent="0.25">
      <c r="A594" t="s">
        <v>3237</v>
      </c>
      <c r="B594">
        <v>164775</v>
      </c>
    </row>
    <row r="595" spans="1:2" x14ac:dyDescent="0.25">
      <c r="A595" t="s">
        <v>3238</v>
      </c>
      <c r="B595">
        <v>139144</v>
      </c>
    </row>
    <row r="596" spans="1:2" x14ac:dyDescent="0.25">
      <c r="A596" t="s">
        <v>3239</v>
      </c>
      <c r="B596">
        <v>461865</v>
      </c>
    </row>
    <row r="597" spans="1:2" x14ac:dyDescent="0.25">
      <c r="A597" t="s">
        <v>3240</v>
      </c>
      <c r="B597">
        <v>485999</v>
      </c>
    </row>
    <row r="598" spans="1:2" x14ac:dyDescent="0.25">
      <c r="A598" t="s">
        <v>3241</v>
      </c>
      <c r="B598">
        <v>189273</v>
      </c>
    </row>
    <row r="599" spans="1:2" x14ac:dyDescent="0.25">
      <c r="A599" t="s">
        <v>3242</v>
      </c>
      <c r="B599">
        <v>183804</v>
      </c>
    </row>
    <row r="600" spans="1:2" x14ac:dyDescent="0.25">
      <c r="A600" t="s">
        <v>3243</v>
      </c>
      <c r="B600">
        <v>486196</v>
      </c>
    </row>
    <row r="601" spans="1:2" x14ac:dyDescent="0.25">
      <c r="A601" t="s">
        <v>3244</v>
      </c>
      <c r="B601">
        <v>488314</v>
      </c>
    </row>
    <row r="602" spans="1:2" x14ac:dyDescent="0.25">
      <c r="A602" t="s">
        <v>3245</v>
      </c>
      <c r="B602">
        <v>154721</v>
      </c>
    </row>
    <row r="603" spans="1:2" x14ac:dyDescent="0.25">
      <c r="A603" t="s">
        <v>3245</v>
      </c>
      <c r="B603">
        <v>237181</v>
      </c>
    </row>
    <row r="604" spans="1:2" x14ac:dyDescent="0.25">
      <c r="A604" t="s">
        <v>3246</v>
      </c>
      <c r="B604">
        <v>486284</v>
      </c>
    </row>
    <row r="605" spans="1:2" x14ac:dyDescent="0.25">
      <c r="A605" t="s">
        <v>3247</v>
      </c>
      <c r="B605">
        <v>173142</v>
      </c>
    </row>
    <row r="606" spans="1:2" x14ac:dyDescent="0.25">
      <c r="A606" t="s">
        <v>3248</v>
      </c>
      <c r="B606">
        <v>143233</v>
      </c>
    </row>
    <row r="607" spans="1:2" x14ac:dyDescent="0.25">
      <c r="A607" t="s">
        <v>3249</v>
      </c>
      <c r="B607">
        <v>154749</v>
      </c>
    </row>
    <row r="608" spans="1:2" x14ac:dyDescent="0.25">
      <c r="A608" t="s">
        <v>3250</v>
      </c>
      <c r="B608">
        <v>262022</v>
      </c>
    </row>
    <row r="609" spans="1:2" x14ac:dyDescent="0.25">
      <c r="A609" t="s">
        <v>3251</v>
      </c>
      <c r="B609">
        <v>150145</v>
      </c>
    </row>
    <row r="610" spans="1:2" x14ac:dyDescent="0.25">
      <c r="A610" t="s">
        <v>3251</v>
      </c>
      <c r="B610">
        <v>173160</v>
      </c>
    </row>
    <row r="611" spans="1:2" x14ac:dyDescent="0.25">
      <c r="A611" t="s">
        <v>3251</v>
      </c>
      <c r="B611">
        <v>219718</v>
      </c>
    </row>
    <row r="612" spans="1:2" x14ac:dyDescent="0.25">
      <c r="A612" t="s">
        <v>3252</v>
      </c>
      <c r="B612">
        <v>110060</v>
      </c>
    </row>
    <row r="613" spans="1:2" x14ac:dyDescent="0.25">
      <c r="A613" t="s">
        <v>3253</v>
      </c>
      <c r="B613">
        <v>486053</v>
      </c>
    </row>
    <row r="614" spans="1:2" x14ac:dyDescent="0.25">
      <c r="A614" t="s">
        <v>3254</v>
      </c>
      <c r="B614">
        <v>132602</v>
      </c>
    </row>
    <row r="615" spans="1:2" x14ac:dyDescent="0.25">
      <c r="A615" t="s">
        <v>3255</v>
      </c>
      <c r="B615">
        <v>139153</v>
      </c>
    </row>
    <row r="616" spans="1:2" x14ac:dyDescent="0.25">
      <c r="A616" t="s">
        <v>3256</v>
      </c>
      <c r="B616">
        <v>475635</v>
      </c>
    </row>
    <row r="617" spans="1:2" x14ac:dyDescent="0.25">
      <c r="A617" t="s">
        <v>3257</v>
      </c>
      <c r="B617">
        <v>102429</v>
      </c>
    </row>
    <row r="618" spans="1:2" x14ac:dyDescent="0.25">
      <c r="A618" t="s">
        <v>3258</v>
      </c>
      <c r="B618">
        <v>443702</v>
      </c>
    </row>
    <row r="619" spans="1:2" x14ac:dyDescent="0.25">
      <c r="A619" t="s">
        <v>3259</v>
      </c>
      <c r="B619">
        <v>457253</v>
      </c>
    </row>
    <row r="620" spans="1:2" x14ac:dyDescent="0.25">
      <c r="A620" t="s">
        <v>3260</v>
      </c>
      <c r="B620">
        <v>484020</v>
      </c>
    </row>
    <row r="621" spans="1:2" x14ac:dyDescent="0.25">
      <c r="A621" t="s">
        <v>3261</v>
      </c>
      <c r="B621">
        <v>234711</v>
      </c>
    </row>
    <row r="622" spans="1:2" x14ac:dyDescent="0.25">
      <c r="A622" t="s">
        <v>3262</v>
      </c>
      <c r="B622">
        <v>137856</v>
      </c>
    </row>
    <row r="623" spans="1:2" x14ac:dyDescent="0.25">
      <c r="A623" t="s">
        <v>3263</v>
      </c>
      <c r="B623">
        <v>157553</v>
      </c>
    </row>
    <row r="624" spans="1:2" x14ac:dyDescent="0.25">
      <c r="A624" t="s">
        <v>3264</v>
      </c>
      <c r="B624">
        <v>196079</v>
      </c>
    </row>
    <row r="625" spans="1:2" x14ac:dyDescent="0.25">
      <c r="A625" t="s">
        <v>3265</v>
      </c>
      <c r="B625">
        <v>110097</v>
      </c>
    </row>
    <row r="626" spans="1:2" x14ac:dyDescent="0.25">
      <c r="A626" t="s">
        <v>3266</v>
      </c>
      <c r="B626">
        <v>100937</v>
      </c>
    </row>
    <row r="627" spans="1:2" x14ac:dyDescent="0.25">
      <c r="A627" t="s">
        <v>3267</v>
      </c>
      <c r="B627">
        <v>442949</v>
      </c>
    </row>
    <row r="628" spans="1:2" x14ac:dyDescent="0.25">
      <c r="A628" t="s">
        <v>3268</v>
      </c>
      <c r="B628">
        <v>442213</v>
      </c>
    </row>
    <row r="629" spans="1:2" x14ac:dyDescent="0.25">
      <c r="A629" t="s">
        <v>3269</v>
      </c>
      <c r="B629">
        <v>102030</v>
      </c>
    </row>
    <row r="630" spans="1:2" x14ac:dyDescent="0.25">
      <c r="A630" t="s">
        <v>3270</v>
      </c>
      <c r="B630">
        <v>200022</v>
      </c>
    </row>
    <row r="631" spans="1:2" x14ac:dyDescent="0.25">
      <c r="A631" t="s">
        <v>3271</v>
      </c>
      <c r="B631">
        <v>457721</v>
      </c>
    </row>
    <row r="632" spans="1:2" x14ac:dyDescent="0.25">
      <c r="A632" t="s">
        <v>3272</v>
      </c>
      <c r="B632">
        <v>236018</v>
      </c>
    </row>
    <row r="633" spans="1:2" x14ac:dyDescent="0.25">
      <c r="A633" t="s">
        <v>3273</v>
      </c>
      <c r="B633">
        <v>224013</v>
      </c>
    </row>
    <row r="634" spans="1:2" x14ac:dyDescent="0.25">
      <c r="A634" t="s">
        <v>3274</v>
      </c>
      <c r="B634">
        <v>143279</v>
      </c>
    </row>
    <row r="635" spans="1:2" x14ac:dyDescent="0.25">
      <c r="A635" t="s">
        <v>3275</v>
      </c>
      <c r="B635">
        <v>219046</v>
      </c>
    </row>
    <row r="636" spans="1:2" x14ac:dyDescent="0.25">
      <c r="A636" t="s">
        <v>3276</v>
      </c>
      <c r="B636">
        <v>106625</v>
      </c>
    </row>
    <row r="637" spans="1:2" x14ac:dyDescent="0.25">
      <c r="A637" t="s">
        <v>3277</v>
      </c>
      <c r="B637">
        <v>143288</v>
      </c>
    </row>
    <row r="638" spans="1:2" x14ac:dyDescent="0.25">
      <c r="A638" t="s">
        <v>3278</v>
      </c>
      <c r="B638">
        <v>180054</v>
      </c>
    </row>
    <row r="639" spans="1:2" x14ac:dyDescent="0.25">
      <c r="A639" t="s">
        <v>3279</v>
      </c>
      <c r="B639">
        <v>238397</v>
      </c>
    </row>
    <row r="640" spans="1:2" x14ac:dyDescent="0.25">
      <c r="A640" t="s">
        <v>3280</v>
      </c>
      <c r="B640">
        <v>457615</v>
      </c>
    </row>
    <row r="641" spans="1:2" x14ac:dyDescent="0.25">
      <c r="A641" t="s">
        <v>3281</v>
      </c>
      <c r="B641">
        <v>198011</v>
      </c>
    </row>
    <row r="642" spans="1:2" x14ac:dyDescent="0.25">
      <c r="A642" t="s">
        <v>3282</v>
      </c>
      <c r="B642">
        <v>366438</v>
      </c>
    </row>
    <row r="643" spans="1:2" x14ac:dyDescent="0.25">
      <c r="A643" t="s">
        <v>3283</v>
      </c>
      <c r="B643">
        <v>447810</v>
      </c>
    </row>
    <row r="644" spans="1:2" x14ac:dyDescent="0.25">
      <c r="A644" t="s">
        <v>3284</v>
      </c>
      <c r="B644">
        <v>373456</v>
      </c>
    </row>
    <row r="645" spans="1:2" x14ac:dyDescent="0.25">
      <c r="A645" t="s">
        <v>3285</v>
      </c>
      <c r="B645">
        <v>143303</v>
      </c>
    </row>
    <row r="646" spans="1:2" x14ac:dyDescent="0.25">
      <c r="A646" t="s">
        <v>3286</v>
      </c>
      <c r="B646">
        <v>143297</v>
      </c>
    </row>
    <row r="647" spans="1:2" x14ac:dyDescent="0.25">
      <c r="A647" t="s">
        <v>3287</v>
      </c>
      <c r="B647">
        <v>223427</v>
      </c>
    </row>
    <row r="648" spans="1:2" x14ac:dyDescent="0.25">
      <c r="A648" t="s">
        <v>3288</v>
      </c>
      <c r="B648">
        <v>183822</v>
      </c>
    </row>
    <row r="649" spans="1:2" x14ac:dyDescent="0.25">
      <c r="A649" t="s">
        <v>3289</v>
      </c>
      <c r="B649">
        <v>211158</v>
      </c>
    </row>
    <row r="650" spans="1:2" x14ac:dyDescent="0.25">
      <c r="A650" t="s">
        <v>3290</v>
      </c>
      <c r="B650">
        <v>444440</v>
      </c>
    </row>
    <row r="651" spans="1:2" x14ac:dyDescent="0.25">
      <c r="A651" t="s">
        <v>3291</v>
      </c>
      <c r="B651">
        <v>450128</v>
      </c>
    </row>
    <row r="652" spans="1:2" x14ac:dyDescent="0.25">
      <c r="A652" t="s">
        <v>3292</v>
      </c>
      <c r="B652">
        <v>450119</v>
      </c>
    </row>
    <row r="653" spans="1:2" x14ac:dyDescent="0.25">
      <c r="A653" t="s">
        <v>3293</v>
      </c>
      <c r="B653">
        <v>441502</v>
      </c>
    </row>
    <row r="654" spans="1:2" x14ac:dyDescent="0.25">
      <c r="A654" t="s">
        <v>3294</v>
      </c>
      <c r="B654">
        <v>450021</v>
      </c>
    </row>
    <row r="655" spans="1:2" x14ac:dyDescent="0.25">
      <c r="A655" t="s">
        <v>3295</v>
      </c>
      <c r="B655">
        <v>439491</v>
      </c>
    </row>
    <row r="656" spans="1:2" x14ac:dyDescent="0.25">
      <c r="A656" t="s">
        <v>3296</v>
      </c>
      <c r="B656">
        <v>434821</v>
      </c>
    </row>
    <row r="657" spans="1:2" x14ac:dyDescent="0.25">
      <c r="A657" t="s">
        <v>3297</v>
      </c>
      <c r="B657">
        <v>243799</v>
      </c>
    </row>
    <row r="658" spans="1:2" x14ac:dyDescent="0.25">
      <c r="A658" t="s">
        <v>3298</v>
      </c>
      <c r="B658">
        <v>175430</v>
      </c>
    </row>
    <row r="659" spans="1:2" x14ac:dyDescent="0.25">
      <c r="A659" t="s">
        <v>3299</v>
      </c>
      <c r="B659">
        <v>208275</v>
      </c>
    </row>
    <row r="660" spans="1:2" x14ac:dyDescent="0.25">
      <c r="A660" t="s">
        <v>3300</v>
      </c>
      <c r="B660">
        <v>446774</v>
      </c>
    </row>
    <row r="661" spans="1:2" x14ac:dyDescent="0.25">
      <c r="A661" t="s">
        <v>3301</v>
      </c>
      <c r="B661">
        <v>198039</v>
      </c>
    </row>
    <row r="662" spans="1:2" x14ac:dyDescent="0.25">
      <c r="A662" t="s">
        <v>3301</v>
      </c>
      <c r="B662">
        <v>231536</v>
      </c>
    </row>
    <row r="663" spans="1:2" x14ac:dyDescent="0.25">
      <c r="A663" t="s">
        <v>3302</v>
      </c>
      <c r="B663">
        <v>237215</v>
      </c>
    </row>
    <row r="664" spans="1:2" x14ac:dyDescent="0.25">
      <c r="A664" t="s">
        <v>3303</v>
      </c>
      <c r="B664">
        <v>231554</v>
      </c>
    </row>
    <row r="665" spans="1:2" x14ac:dyDescent="0.25">
      <c r="A665" t="s">
        <v>3304</v>
      </c>
      <c r="B665">
        <v>156392</v>
      </c>
    </row>
    <row r="666" spans="1:2" x14ac:dyDescent="0.25">
      <c r="A666" t="s">
        <v>3305</v>
      </c>
      <c r="B666">
        <v>201371</v>
      </c>
    </row>
    <row r="667" spans="1:2" x14ac:dyDescent="0.25">
      <c r="A667" t="s">
        <v>3306</v>
      </c>
      <c r="B667">
        <v>491482</v>
      </c>
    </row>
    <row r="668" spans="1:2" x14ac:dyDescent="0.25">
      <c r="A668" t="s">
        <v>3307</v>
      </c>
      <c r="B668">
        <v>491446</v>
      </c>
    </row>
    <row r="669" spans="1:2" x14ac:dyDescent="0.25">
      <c r="A669" t="s">
        <v>3308</v>
      </c>
      <c r="B669">
        <v>175999</v>
      </c>
    </row>
    <row r="670" spans="1:2" x14ac:dyDescent="0.25">
      <c r="A670" t="s">
        <v>3309</v>
      </c>
      <c r="B670">
        <v>217749</v>
      </c>
    </row>
    <row r="671" spans="1:2" x14ac:dyDescent="0.25">
      <c r="A671" t="s">
        <v>3310</v>
      </c>
      <c r="B671">
        <v>481483</v>
      </c>
    </row>
    <row r="672" spans="1:2" x14ac:dyDescent="0.25">
      <c r="A672" t="s">
        <v>3311</v>
      </c>
      <c r="B672">
        <v>489238</v>
      </c>
    </row>
    <row r="673" spans="1:2" x14ac:dyDescent="0.25">
      <c r="A673" t="s">
        <v>3312</v>
      </c>
      <c r="B673">
        <v>496690</v>
      </c>
    </row>
    <row r="674" spans="1:2" x14ac:dyDescent="0.25">
      <c r="A674" t="s">
        <v>3313</v>
      </c>
      <c r="B674">
        <v>476850</v>
      </c>
    </row>
    <row r="675" spans="1:2" x14ac:dyDescent="0.25">
      <c r="A675" t="s">
        <v>3314</v>
      </c>
      <c r="B675">
        <v>142090</v>
      </c>
    </row>
    <row r="676" spans="1:2" x14ac:dyDescent="0.25">
      <c r="A676" t="s">
        <v>3315</v>
      </c>
      <c r="B676">
        <v>142115</v>
      </c>
    </row>
    <row r="677" spans="1:2" x14ac:dyDescent="0.25">
      <c r="A677" t="s">
        <v>3316</v>
      </c>
      <c r="B677">
        <v>444316</v>
      </c>
    </row>
    <row r="678" spans="1:2" x14ac:dyDescent="0.25">
      <c r="A678" t="s">
        <v>3317</v>
      </c>
      <c r="B678">
        <v>490203</v>
      </c>
    </row>
    <row r="679" spans="1:2" x14ac:dyDescent="0.25">
      <c r="A679" t="s">
        <v>3318</v>
      </c>
      <c r="B679">
        <v>233356</v>
      </c>
    </row>
    <row r="680" spans="1:2" x14ac:dyDescent="0.25">
      <c r="A680" t="s">
        <v>3319</v>
      </c>
      <c r="B680">
        <v>233480</v>
      </c>
    </row>
    <row r="681" spans="1:2" x14ac:dyDescent="0.25">
      <c r="A681" t="s">
        <v>3320</v>
      </c>
      <c r="B681">
        <v>481456</v>
      </c>
    </row>
    <row r="682" spans="1:2" x14ac:dyDescent="0.25">
      <c r="A682" t="s">
        <v>3321</v>
      </c>
      <c r="B682">
        <v>189413</v>
      </c>
    </row>
    <row r="683" spans="1:2" x14ac:dyDescent="0.25">
      <c r="A683" t="s">
        <v>3322</v>
      </c>
      <c r="B683">
        <v>454759</v>
      </c>
    </row>
    <row r="684" spans="1:2" x14ac:dyDescent="0.25">
      <c r="A684" t="s">
        <v>3323</v>
      </c>
      <c r="B684">
        <v>483948</v>
      </c>
    </row>
    <row r="685" spans="1:2" x14ac:dyDescent="0.25">
      <c r="A685" t="s">
        <v>3324</v>
      </c>
      <c r="B685">
        <v>158431</v>
      </c>
    </row>
    <row r="686" spans="1:2" x14ac:dyDescent="0.25">
      <c r="A686" t="s">
        <v>3325</v>
      </c>
      <c r="B686">
        <v>164872</v>
      </c>
    </row>
    <row r="687" spans="1:2" x14ac:dyDescent="0.25">
      <c r="A687" t="s">
        <v>3326</v>
      </c>
      <c r="B687">
        <v>164614</v>
      </c>
    </row>
    <row r="688" spans="1:2" x14ac:dyDescent="0.25">
      <c r="A688" t="s">
        <v>3327</v>
      </c>
      <c r="B688">
        <v>164924</v>
      </c>
    </row>
    <row r="689" spans="1:2" x14ac:dyDescent="0.25">
      <c r="A689" t="s">
        <v>3328</v>
      </c>
      <c r="B689">
        <v>164915</v>
      </c>
    </row>
    <row r="690" spans="1:2" x14ac:dyDescent="0.25">
      <c r="A690" t="s">
        <v>3329</v>
      </c>
      <c r="B690">
        <v>164988</v>
      </c>
    </row>
    <row r="691" spans="1:2" x14ac:dyDescent="0.25">
      <c r="A691" t="s">
        <v>3330</v>
      </c>
      <c r="B691">
        <v>161004</v>
      </c>
    </row>
    <row r="692" spans="1:2" x14ac:dyDescent="0.25">
      <c r="A692" t="s">
        <v>3331</v>
      </c>
      <c r="B692">
        <v>162007</v>
      </c>
    </row>
    <row r="693" spans="1:2" x14ac:dyDescent="0.25">
      <c r="A693" t="s">
        <v>3332</v>
      </c>
      <c r="B693">
        <v>201432</v>
      </c>
    </row>
    <row r="694" spans="1:2" x14ac:dyDescent="0.25">
      <c r="A694" t="s">
        <v>3333</v>
      </c>
      <c r="B694">
        <v>201441</v>
      </c>
    </row>
    <row r="695" spans="1:2" x14ac:dyDescent="0.25">
      <c r="A695" t="s">
        <v>3334</v>
      </c>
      <c r="B695">
        <v>143358</v>
      </c>
    </row>
    <row r="696" spans="1:2" x14ac:dyDescent="0.25">
      <c r="A696" t="s">
        <v>3335</v>
      </c>
      <c r="B696">
        <v>479992</v>
      </c>
    </row>
    <row r="697" spans="1:2" x14ac:dyDescent="0.25">
      <c r="A697" t="s">
        <v>3336</v>
      </c>
      <c r="B697">
        <v>165015</v>
      </c>
    </row>
    <row r="698" spans="1:2" x14ac:dyDescent="0.25">
      <c r="A698" t="s">
        <v>3337</v>
      </c>
      <c r="B698">
        <v>496894</v>
      </c>
    </row>
    <row r="699" spans="1:2" x14ac:dyDescent="0.25">
      <c r="A699" t="s">
        <v>3338</v>
      </c>
      <c r="B699">
        <v>451042</v>
      </c>
    </row>
    <row r="700" spans="1:2" x14ac:dyDescent="0.25">
      <c r="A700" t="s">
        <v>3339</v>
      </c>
      <c r="B700">
        <v>223506</v>
      </c>
    </row>
    <row r="701" spans="1:2" x14ac:dyDescent="0.25">
      <c r="A701" t="s">
        <v>3340</v>
      </c>
      <c r="B701">
        <v>139199</v>
      </c>
    </row>
    <row r="702" spans="1:2" x14ac:dyDescent="0.25">
      <c r="A702" t="s">
        <v>3341</v>
      </c>
      <c r="B702">
        <v>156356</v>
      </c>
    </row>
    <row r="703" spans="1:2" x14ac:dyDescent="0.25">
      <c r="A703" t="s">
        <v>3342</v>
      </c>
      <c r="B703">
        <v>198066</v>
      </c>
    </row>
    <row r="704" spans="1:2" x14ac:dyDescent="0.25">
      <c r="A704" t="s">
        <v>3343</v>
      </c>
      <c r="B704">
        <v>367875</v>
      </c>
    </row>
    <row r="705" spans="1:2" x14ac:dyDescent="0.25">
      <c r="A705" t="s">
        <v>3344</v>
      </c>
      <c r="B705">
        <v>139205</v>
      </c>
    </row>
    <row r="706" spans="1:2" x14ac:dyDescent="0.25">
      <c r="A706" t="s">
        <v>3345</v>
      </c>
      <c r="B706">
        <v>152992</v>
      </c>
    </row>
    <row r="707" spans="1:2" x14ac:dyDescent="0.25">
      <c r="A707" t="s">
        <v>3346</v>
      </c>
      <c r="B707">
        <v>230010</v>
      </c>
    </row>
    <row r="708" spans="1:2" x14ac:dyDescent="0.25">
      <c r="A708" t="s">
        <v>3347</v>
      </c>
      <c r="B708">
        <v>125082</v>
      </c>
    </row>
    <row r="709" spans="1:2" x14ac:dyDescent="0.25">
      <c r="A709" t="s">
        <v>3348</v>
      </c>
      <c r="B709">
        <v>484932</v>
      </c>
    </row>
    <row r="710" spans="1:2" x14ac:dyDescent="0.25">
      <c r="A710" t="s">
        <v>3349</v>
      </c>
      <c r="B710">
        <v>231581</v>
      </c>
    </row>
    <row r="711" spans="1:2" x14ac:dyDescent="0.25">
      <c r="A711" t="s">
        <v>3350</v>
      </c>
      <c r="B711">
        <v>165024</v>
      </c>
    </row>
    <row r="712" spans="1:2" x14ac:dyDescent="0.25">
      <c r="A712" t="s">
        <v>3351</v>
      </c>
      <c r="B712">
        <v>230038</v>
      </c>
    </row>
    <row r="713" spans="1:2" x14ac:dyDescent="0.25">
      <c r="A713" t="s">
        <v>3352</v>
      </c>
      <c r="B713">
        <v>230047</v>
      </c>
    </row>
    <row r="714" spans="1:2" x14ac:dyDescent="0.25">
      <c r="A714" t="s">
        <v>3353</v>
      </c>
      <c r="B714">
        <v>142522</v>
      </c>
    </row>
    <row r="715" spans="1:2" x14ac:dyDescent="0.25">
      <c r="A715" t="s">
        <v>3354</v>
      </c>
      <c r="B715">
        <v>442976</v>
      </c>
    </row>
    <row r="716" spans="1:2" x14ac:dyDescent="0.25">
      <c r="A716" t="s">
        <v>3355</v>
      </c>
      <c r="B716">
        <v>477002</v>
      </c>
    </row>
    <row r="717" spans="1:2" x14ac:dyDescent="0.25">
      <c r="A717" t="s">
        <v>3356</v>
      </c>
      <c r="B717">
        <v>232450</v>
      </c>
    </row>
    <row r="718" spans="1:2" x14ac:dyDescent="0.25">
      <c r="A718" t="s">
        <v>3357</v>
      </c>
      <c r="B718">
        <v>404718</v>
      </c>
    </row>
    <row r="719" spans="1:2" x14ac:dyDescent="0.25">
      <c r="A719" t="s">
        <v>3358</v>
      </c>
      <c r="B719">
        <v>165033</v>
      </c>
    </row>
    <row r="720" spans="1:2" x14ac:dyDescent="0.25">
      <c r="A720" t="s">
        <v>3359</v>
      </c>
      <c r="B720">
        <v>431187</v>
      </c>
    </row>
    <row r="721" spans="1:2" x14ac:dyDescent="0.25">
      <c r="A721" t="s">
        <v>3360</v>
      </c>
      <c r="B721">
        <v>450304</v>
      </c>
    </row>
    <row r="722" spans="1:2" x14ac:dyDescent="0.25">
      <c r="A722" t="s">
        <v>3361</v>
      </c>
      <c r="B722">
        <v>189404</v>
      </c>
    </row>
    <row r="723" spans="1:2" x14ac:dyDescent="0.25">
      <c r="A723" t="s">
        <v>3361</v>
      </c>
      <c r="B723">
        <v>189468</v>
      </c>
    </row>
    <row r="724" spans="1:2" x14ac:dyDescent="0.25">
      <c r="A724" t="s">
        <v>3361</v>
      </c>
      <c r="B724">
        <v>449311</v>
      </c>
    </row>
    <row r="725" spans="1:2" x14ac:dyDescent="0.25">
      <c r="A725" t="s">
        <v>3362</v>
      </c>
      <c r="B725">
        <v>230056</v>
      </c>
    </row>
    <row r="726" spans="1:2" x14ac:dyDescent="0.25">
      <c r="A726" t="s">
        <v>3363</v>
      </c>
      <c r="B726">
        <v>448424</v>
      </c>
    </row>
    <row r="727" spans="1:2" x14ac:dyDescent="0.25">
      <c r="A727" t="s">
        <v>3364</v>
      </c>
      <c r="B727">
        <v>183859</v>
      </c>
    </row>
    <row r="728" spans="1:2" x14ac:dyDescent="0.25">
      <c r="A728" t="s">
        <v>3365</v>
      </c>
      <c r="B728">
        <v>444088</v>
      </c>
    </row>
    <row r="729" spans="1:2" x14ac:dyDescent="0.25">
      <c r="A729" t="s">
        <v>3366</v>
      </c>
      <c r="B729">
        <v>104090</v>
      </c>
    </row>
    <row r="730" spans="1:2" x14ac:dyDescent="0.25">
      <c r="A730" t="s">
        <v>3367</v>
      </c>
      <c r="B730">
        <v>404055</v>
      </c>
    </row>
    <row r="731" spans="1:2" x14ac:dyDescent="0.25">
      <c r="A731" t="s">
        <v>3368</v>
      </c>
      <c r="B731">
        <v>438179</v>
      </c>
    </row>
    <row r="732" spans="1:2" x14ac:dyDescent="0.25">
      <c r="A732" t="s">
        <v>3369</v>
      </c>
      <c r="B732">
        <v>189501</v>
      </c>
    </row>
    <row r="733" spans="1:2" x14ac:dyDescent="0.25">
      <c r="A733" t="s">
        <v>3370</v>
      </c>
      <c r="B733">
        <v>418010</v>
      </c>
    </row>
    <row r="734" spans="1:2" x14ac:dyDescent="0.25">
      <c r="A734" t="s">
        <v>3371</v>
      </c>
      <c r="B734">
        <v>132709</v>
      </c>
    </row>
    <row r="735" spans="1:2" x14ac:dyDescent="0.25">
      <c r="A735" t="s">
        <v>3372</v>
      </c>
      <c r="B735">
        <v>375568</v>
      </c>
    </row>
    <row r="736" spans="1:2" x14ac:dyDescent="0.25">
      <c r="A736" t="s">
        <v>3373</v>
      </c>
      <c r="B736">
        <v>441645</v>
      </c>
    </row>
    <row r="737" spans="1:2" x14ac:dyDescent="0.25">
      <c r="A737" t="s">
        <v>3374</v>
      </c>
      <c r="B737">
        <v>450395</v>
      </c>
    </row>
    <row r="738" spans="1:2" x14ac:dyDescent="0.25">
      <c r="A738" t="s">
        <v>3375</v>
      </c>
      <c r="B738">
        <v>491695</v>
      </c>
    </row>
    <row r="739" spans="1:2" x14ac:dyDescent="0.25">
      <c r="A739" t="s">
        <v>3376</v>
      </c>
      <c r="B739">
        <v>217156</v>
      </c>
    </row>
    <row r="740" spans="1:2" x14ac:dyDescent="0.25">
      <c r="A740" t="s">
        <v>3377</v>
      </c>
      <c r="B740">
        <v>110194</v>
      </c>
    </row>
    <row r="741" spans="1:2" x14ac:dyDescent="0.25">
      <c r="A741" t="s">
        <v>3378</v>
      </c>
      <c r="B741">
        <v>198084</v>
      </c>
    </row>
    <row r="742" spans="1:2" x14ac:dyDescent="0.25">
      <c r="A742" t="s">
        <v>3379</v>
      </c>
      <c r="B742">
        <v>180878</v>
      </c>
    </row>
    <row r="743" spans="1:2" x14ac:dyDescent="0.25">
      <c r="A743" t="s">
        <v>3380</v>
      </c>
      <c r="B743">
        <v>219790</v>
      </c>
    </row>
    <row r="744" spans="1:2" x14ac:dyDescent="0.25">
      <c r="A744" t="s">
        <v>3381</v>
      </c>
      <c r="B744">
        <v>110219</v>
      </c>
    </row>
    <row r="745" spans="1:2" x14ac:dyDescent="0.25">
      <c r="A745" t="s">
        <v>3381</v>
      </c>
      <c r="B745">
        <v>369516</v>
      </c>
    </row>
    <row r="746" spans="1:2" x14ac:dyDescent="0.25">
      <c r="A746" t="s">
        <v>3381</v>
      </c>
      <c r="B746">
        <v>454458</v>
      </c>
    </row>
    <row r="747" spans="1:2" x14ac:dyDescent="0.25">
      <c r="A747" t="s">
        <v>3382</v>
      </c>
      <c r="B747">
        <v>188517</v>
      </c>
    </row>
    <row r="748" spans="1:2" x14ac:dyDescent="0.25">
      <c r="A748" t="s">
        <v>3383</v>
      </c>
      <c r="B748">
        <v>189583</v>
      </c>
    </row>
    <row r="749" spans="1:2" x14ac:dyDescent="0.25">
      <c r="A749" t="s">
        <v>3384</v>
      </c>
      <c r="B749">
        <v>189592</v>
      </c>
    </row>
    <row r="750" spans="1:2" x14ac:dyDescent="0.25">
      <c r="A750" t="s">
        <v>3385</v>
      </c>
      <c r="B750">
        <v>480091</v>
      </c>
    </row>
    <row r="751" spans="1:2" x14ac:dyDescent="0.25">
      <c r="A751" t="s">
        <v>3386</v>
      </c>
      <c r="B751">
        <v>201469</v>
      </c>
    </row>
    <row r="752" spans="1:2" x14ac:dyDescent="0.25">
      <c r="A752" t="s">
        <v>3387</v>
      </c>
      <c r="B752">
        <v>189565</v>
      </c>
    </row>
    <row r="753" spans="1:2" x14ac:dyDescent="0.25">
      <c r="A753" t="s">
        <v>3388</v>
      </c>
      <c r="B753">
        <v>231785</v>
      </c>
    </row>
    <row r="754" spans="1:2" x14ac:dyDescent="0.25">
      <c r="A754" t="s">
        <v>3389</v>
      </c>
      <c r="B754">
        <v>451750</v>
      </c>
    </row>
    <row r="755" spans="1:2" x14ac:dyDescent="0.25">
      <c r="A755" t="s">
        <v>3390</v>
      </c>
      <c r="B755">
        <v>217165</v>
      </c>
    </row>
    <row r="756" spans="1:2" x14ac:dyDescent="0.25">
      <c r="A756" t="s">
        <v>3391</v>
      </c>
      <c r="B756">
        <v>210492</v>
      </c>
    </row>
    <row r="757" spans="1:2" x14ac:dyDescent="0.25">
      <c r="A757" t="s">
        <v>3392</v>
      </c>
      <c r="B757">
        <v>211273</v>
      </c>
    </row>
    <row r="758" spans="1:2" x14ac:dyDescent="0.25">
      <c r="A758" t="s">
        <v>3393</v>
      </c>
      <c r="B758">
        <v>201478</v>
      </c>
    </row>
    <row r="759" spans="1:2" x14ac:dyDescent="0.25">
      <c r="A759" t="s">
        <v>3394</v>
      </c>
      <c r="B759">
        <v>383312</v>
      </c>
    </row>
    <row r="760" spans="1:2" x14ac:dyDescent="0.25">
      <c r="A760" t="s">
        <v>3395</v>
      </c>
      <c r="B760">
        <v>211291</v>
      </c>
    </row>
    <row r="761" spans="1:2" x14ac:dyDescent="0.25">
      <c r="A761" t="s">
        <v>3396</v>
      </c>
      <c r="B761">
        <v>461740</v>
      </c>
    </row>
    <row r="762" spans="1:2" x14ac:dyDescent="0.25">
      <c r="A762" t="s">
        <v>3397</v>
      </c>
      <c r="B762">
        <v>211307</v>
      </c>
    </row>
    <row r="763" spans="1:2" x14ac:dyDescent="0.25">
      <c r="A763" t="s">
        <v>3398</v>
      </c>
      <c r="B763">
        <v>211316</v>
      </c>
    </row>
    <row r="764" spans="1:2" x14ac:dyDescent="0.25">
      <c r="A764" t="s">
        <v>3399</v>
      </c>
      <c r="B764">
        <v>153001</v>
      </c>
    </row>
    <row r="765" spans="1:2" x14ac:dyDescent="0.25">
      <c r="A765" t="s">
        <v>3400</v>
      </c>
      <c r="B765">
        <v>490948</v>
      </c>
    </row>
    <row r="766" spans="1:2" x14ac:dyDescent="0.25">
      <c r="A766" t="s">
        <v>3401</v>
      </c>
      <c r="B766">
        <v>487898</v>
      </c>
    </row>
    <row r="767" spans="1:2" x14ac:dyDescent="0.25">
      <c r="A767" t="s">
        <v>3402</v>
      </c>
      <c r="B767">
        <v>165112</v>
      </c>
    </row>
    <row r="768" spans="1:2" x14ac:dyDescent="0.25">
      <c r="A768" t="s">
        <v>8823</v>
      </c>
      <c r="B768">
        <v>497231</v>
      </c>
    </row>
    <row r="769" spans="1:2" x14ac:dyDescent="0.25">
      <c r="A769" t="s">
        <v>3403</v>
      </c>
      <c r="B769">
        <v>496645</v>
      </c>
    </row>
    <row r="770" spans="1:2" x14ac:dyDescent="0.25">
      <c r="A770" t="s">
        <v>3404</v>
      </c>
      <c r="B770">
        <v>488554</v>
      </c>
    </row>
    <row r="771" spans="1:2" x14ac:dyDescent="0.25">
      <c r="A771" t="s">
        <v>3405</v>
      </c>
      <c r="B771">
        <v>209409</v>
      </c>
    </row>
    <row r="772" spans="1:2" x14ac:dyDescent="0.25">
      <c r="A772" t="s">
        <v>3406</v>
      </c>
      <c r="B772">
        <v>211334</v>
      </c>
    </row>
    <row r="773" spans="1:2" x14ac:dyDescent="0.25">
      <c r="A773" t="s">
        <v>3407</v>
      </c>
      <c r="B773">
        <v>213330</v>
      </c>
    </row>
    <row r="774" spans="1:2" x14ac:dyDescent="0.25">
      <c r="A774" t="s">
        <v>3408</v>
      </c>
      <c r="B774">
        <v>367431</v>
      </c>
    </row>
    <row r="775" spans="1:2" x14ac:dyDescent="0.25">
      <c r="A775" t="s">
        <v>3409</v>
      </c>
      <c r="B775">
        <v>154800</v>
      </c>
    </row>
    <row r="776" spans="1:2" x14ac:dyDescent="0.25">
      <c r="A776" t="s">
        <v>3410</v>
      </c>
      <c r="B776">
        <v>211343</v>
      </c>
    </row>
    <row r="777" spans="1:2" x14ac:dyDescent="0.25">
      <c r="A777" t="s">
        <v>3411</v>
      </c>
      <c r="B777">
        <v>201496</v>
      </c>
    </row>
    <row r="778" spans="1:2" x14ac:dyDescent="0.25">
      <c r="A778" t="s">
        <v>3412</v>
      </c>
      <c r="B778">
        <v>150163</v>
      </c>
    </row>
    <row r="779" spans="1:2" x14ac:dyDescent="0.25">
      <c r="A779" t="s">
        <v>3413</v>
      </c>
      <c r="B779">
        <v>180063</v>
      </c>
    </row>
    <row r="780" spans="1:2" x14ac:dyDescent="0.25">
      <c r="A780" t="s">
        <v>3414</v>
      </c>
      <c r="B780">
        <v>110246</v>
      </c>
    </row>
    <row r="781" spans="1:2" x14ac:dyDescent="0.25">
      <c r="A781" t="s">
        <v>3415</v>
      </c>
      <c r="B781">
        <v>487773</v>
      </c>
    </row>
    <row r="782" spans="1:2" x14ac:dyDescent="0.25">
      <c r="A782" t="s">
        <v>3416</v>
      </c>
      <c r="B782">
        <v>444103</v>
      </c>
    </row>
    <row r="783" spans="1:2" x14ac:dyDescent="0.25">
      <c r="A783" t="s">
        <v>3417</v>
      </c>
      <c r="B783">
        <v>487968</v>
      </c>
    </row>
    <row r="784" spans="1:2" x14ac:dyDescent="0.25">
      <c r="A784" t="s">
        <v>3418</v>
      </c>
      <c r="B784">
        <v>198109</v>
      </c>
    </row>
    <row r="785" spans="1:2" x14ac:dyDescent="0.25">
      <c r="A785" t="s">
        <v>3419</v>
      </c>
      <c r="B785">
        <v>237242</v>
      </c>
    </row>
    <row r="786" spans="1:2" x14ac:dyDescent="0.25">
      <c r="A786" t="s">
        <v>3420</v>
      </c>
      <c r="B786">
        <v>110334</v>
      </c>
    </row>
    <row r="787" spans="1:2" x14ac:dyDescent="0.25">
      <c r="A787" t="s">
        <v>3421</v>
      </c>
      <c r="B787">
        <v>211352</v>
      </c>
    </row>
    <row r="788" spans="1:2" x14ac:dyDescent="0.25">
      <c r="A788" t="s">
        <v>3422</v>
      </c>
      <c r="B788">
        <v>364946</v>
      </c>
    </row>
    <row r="789" spans="1:2" x14ac:dyDescent="0.25">
      <c r="A789" t="s">
        <v>3423</v>
      </c>
      <c r="B789">
        <v>421665</v>
      </c>
    </row>
    <row r="790" spans="1:2" x14ac:dyDescent="0.25">
      <c r="A790" t="s">
        <v>3424</v>
      </c>
      <c r="B790">
        <v>215114</v>
      </c>
    </row>
    <row r="791" spans="1:2" x14ac:dyDescent="0.25">
      <c r="A791" t="s">
        <v>3425</v>
      </c>
      <c r="B791">
        <v>446084</v>
      </c>
    </row>
    <row r="792" spans="1:2" x14ac:dyDescent="0.25">
      <c r="A792" t="s">
        <v>3426</v>
      </c>
      <c r="B792">
        <v>198118</v>
      </c>
    </row>
    <row r="793" spans="1:2" x14ac:dyDescent="0.25">
      <c r="A793" t="s">
        <v>3427</v>
      </c>
      <c r="B793">
        <v>183910</v>
      </c>
    </row>
    <row r="794" spans="1:2" x14ac:dyDescent="0.25">
      <c r="A794" t="s">
        <v>3428</v>
      </c>
      <c r="B794">
        <v>433420</v>
      </c>
    </row>
    <row r="795" spans="1:2" x14ac:dyDescent="0.25">
      <c r="A795" t="s">
        <v>3429</v>
      </c>
      <c r="B795">
        <v>494940</v>
      </c>
    </row>
    <row r="796" spans="1:2" x14ac:dyDescent="0.25">
      <c r="A796" t="s">
        <v>3430</v>
      </c>
      <c r="B796">
        <v>110361</v>
      </c>
    </row>
    <row r="797" spans="1:2" x14ac:dyDescent="0.25">
      <c r="A797" t="s">
        <v>3431</v>
      </c>
      <c r="B797">
        <v>486497</v>
      </c>
    </row>
    <row r="798" spans="1:2" x14ac:dyDescent="0.25">
      <c r="A798" t="s">
        <v>3432</v>
      </c>
      <c r="B798">
        <v>110875</v>
      </c>
    </row>
    <row r="799" spans="1:2" x14ac:dyDescent="0.25">
      <c r="A799" t="s">
        <v>3433</v>
      </c>
      <c r="B799">
        <v>447713</v>
      </c>
    </row>
    <row r="800" spans="1:2" x14ac:dyDescent="0.25">
      <c r="A800" t="s">
        <v>3434</v>
      </c>
      <c r="B800">
        <v>481386</v>
      </c>
    </row>
    <row r="801" spans="1:2" x14ac:dyDescent="0.25">
      <c r="A801" t="s">
        <v>3435</v>
      </c>
      <c r="B801">
        <v>262402</v>
      </c>
    </row>
    <row r="802" spans="1:2" x14ac:dyDescent="0.25">
      <c r="A802" t="s">
        <v>3436</v>
      </c>
      <c r="B802">
        <v>110918</v>
      </c>
    </row>
    <row r="803" spans="1:2" x14ac:dyDescent="0.25">
      <c r="A803" t="s">
        <v>3437</v>
      </c>
      <c r="B803">
        <v>492661</v>
      </c>
    </row>
    <row r="804" spans="1:2" x14ac:dyDescent="0.25">
      <c r="A804" t="s">
        <v>3438</v>
      </c>
      <c r="B804">
        <v>488563</v>
      </c>
    </row>
    <row r="805" spans="1:2" x14ac:dyDescent="0.25">
      <c r="A805" t="s">
        <v>3439</v>
      </c>
      <c r="B805">
        <v>110370</v>
      </c>
    </row>
    <row r="806" spans="1:2" x14ac:dyDescent="0.25">
      <c r="A806" t="s">
        <v>3440</v>
      </c>
      <c r="B806">
        <v>478634</v>
      </c>
    </row>
    <row r="807" spans="1:2" x14ac:dyDescent="0.25">
      <c r="A807" t="s">
        <v>3440</v>
      </c>
      <c r="B807">
        <v>485263</v>
      </c>
    </row>
    <row r="808" spans="1:2" x14ac:dyDescent="0.25">
      <c r="A808" t="s">
        <v>3441</v>
      </c>
      <c r="B808">
        <v>474890</v>
      </c>
    </row>
    <row r="809" spans="1:2" x14ac:dyDescent="0.25">
      <c r="A809" t="s">
        <v>3442</v>
      </c>
      <c r="B809">
        <v>111054</v>
      </c>
    </row>
    <row r="810" spans="1:2" x14ac:dyDescent="0.25">
      <c r="A810" t="s">
        <v>3443</v>
      </c>
      <c r="B810">
        <v>442985</v>
      </c>
    </row>
    <row r="811" spans="1:2" x14ac:dyDescent="0.25">
      <c r="A811" t="s">
        <v>3444</v>
      </c>
      <c r="B811">
        <v>488572</v>
      </c>
    </row>
    <row r="812" spans="1:2" x14ac:dyDescent="0.25">
      <c r="A812" t="s">
        <v>3445</v>
      </c>
      <c r="B812">
        <v>495271</v>
      </c>
    </row>
    <row r="813" spans="1:2" x14ac:dyDescent="0.25">
      <c r="A813" t="s">
        <v>3446</v>
      </c>
      <c r="B813">
        <v>487649</v>
      </c>
    </row>
    <row r="814" spans="1:2" x14ac:dyDescent="0.25">
      <c r="A814" t="s">
        <v>3447</v>
      </c>
      <c r="B814">
        <v>490285</v>
      </c>
    </row>
    <row r="815" spans="1:2" x14ac:dyDescent="0.25">
      <c r="A815" t="s">
        <v>3448</v>
      </c>
      <c r="B815">
        <v>496186</v>
      </c>
    </row>
    <row r="816" spans="1:2" x14ac:dyDescent="0.25">
      <c r="A816" t="s">
        <v>3449</v>
      </c>
      <c r="B816">
        <v>110316</v>
      </c>
    </row>
    <row r="817" spans="1:2" x14ac:dyDescent="0.25">
      <c r="A817" t="s">
        <v>3450</v>
      </c>
      <c r="B817">
        <v>491507</v>
      </c>
    </row>
    <row r="818" spans="1:2" x14ac:dyDescent="0.25">
      <c r="A818" t="s">
        <v>3451</v>
      </c>
      <c r="B818">
        <v>110404</v>
      </c>
    </row>
    <row r="819" spans="1:2" x14ac:dyDescent="0.25">
      <c r="A819" t="s">
        <v>3452</v>
      </c>
      <c r="B819">
        <v>111081</v>
      </c>
    </row>
    <row r="820" spans="1:2" x14ac:dyDescent="0.25">
      <c r="A820" t="s">
        <v>3453</v>
      </c>
      <c r="B820">
        <v>485546</v>
      </c>
    </row>
    <row r="821" spans="1:2" x14ac:dyDescent="0.25">
      <c r="A821" t="s">
        <v>3454</v>
      </c>
      <c r="B821">
        <v>486488</v>
      </c>
    </row>
    <row r="822" spans="1:2" x14ac:dyDescent="0.25">
      <c r="A822" t="s">
        <v>3455</v>
      </c>
      <c r="B822">
        <v>110413</v>
      </c>
    </row>
    <row r="823" spans="1:2" x14ac:dyDescent="0.25">
      <c r="A823" t="s">
        <v>3456</v>
      </c>
      <c r="B823">
        <v>480781</v>
      </c>
    </row>
    <row r="824" spans="1:2" x14ac:dyDescent="0.25">
      <c r="A824" t="s">
        <v>3457</v>
      </c>
      <c r="B824">
        <v>496627</v>
      </c>
    </row>
    <row r="825" spans="1:2" x14ac:dyDescent="0.25">
      <c r="A825" t="s">
        <v>3458</v>
      </c>
      <c r="B825">
        <v>455734</v>
      </c>
    </row>
    <row r="826" spans="1:2" x14ac:dyDescent="0.25">
      <c r="A826" t="s">
        <v>3459</v>
      </c>
      <c r="B826">
        <v>110422</v>
      </c>
    </row>
    <row r="827" spans="1:2" x14ac:dyDescent="0.25">
      <c r="A827" t="s">
        <v>3460</v>
      </c>
      <c r="B827">
        <v>115755</v>
      </c>
    </row>
    <row r="828" spans="1:2" x14ac:dyDescent="0.25">
      <c r="A828" t="s">
        <v>3461</v>
      </c>
      <c r="B828">
        <v>110529</v>
      </c>
    </row>
    <row r="829" spans="1:2" x14ac:dyDescent="0.25">
      <c r="A829" t="s">
        <v>3462</v>
      </c>
      <c r="B829">
        <v>111188</v>
      </c>
    </row>
    <row r="830" spans="1:2" x14ac:dyDescent="0.25">
      <c r="A830" t="s">
        <v>3463</v>
      </c>
      <c r="B830">
        <v>110486</v>
      </c>
    </row>
    <row r="831" spans="1:2" x14ac:dyDescent="0.25">
      <c r="A831" t="s">
        <v>3464</v>
      </c>
      <c r="B831">
        <v>110501</v>
      </c>
    </row>
    <row r="832" spans="1:2" x14ac:dyDescent="0.25">
      <c r="A832" t="s">
        <v>3465</v>
      </c>
      <c r="B832">
        <v>441937</v>
      </c>
    </row>
    <row r="833" spans="1:2" x14ac:dyDescent="0.25">
      <c r="A833" t="s">
        <v>3466</v>
      </c>
      <c r="B833">
        <v>110538</v>
      </c>
    </row>
    <row r="834" spans="1:2" x14ac:dyDescent="0.25">
      <c r="A834" t="s">
        <v>3467</v>
      </c>
      <c r="B834">
        <v>110547</v>
      </c>
    </row>
    <row r="835" spans="1:2" x14ac:dyDescent="0.25">
      <c r="A835" t="s">
        <v>3468</v>
      </c>
      <c r="B835">
        <v>110574</v>
      </c>
    </row>
    <row r="836" spans="1:2" x14ac:dyDescent="0.25">
      <c r="A836" t="s">
        <v>3469</v>
      </c>
      <c r="B836">
        <v>110556</v>
      </c>
    </row>
    <row r="837" spans="1:2" x14ac:dyDescent="0.25">
      <c r="A837" t="s">
        <v>3470</v>
      </c>
      <c r="B837">
        <v>110565</v>
      </c>
    </row>
    <row r="838" spans="1:2" x14ac:dyDescent="0.25">
      <c r="A838" t="s">
        <v>3471</v>
      </c>
      <c r="B838">
        <v>110583</v>
      </c>
    </row>
    <row r="839" spans="1:2" x14ac:dyDescent="0.25">
      <c r="A839" t="s">
        <v>3472</v>
      </c>
      <c r="B839">
        <v>110592</v>
      </c>
    </row>
    <row r="840" spans="1:2" x14ac:dyDescent="0.25">
      <c r="A840" t="s">
        <v>3473</v>
      </c>
      <c r="B840">
        <v>409698</v>
      </c>
    </row>
    <row r="841" spans="1:2" x14ac:dyDescent="0.25">
      <c r="A841" t="s">
        <v>3474</v>
      </c>
      <c r="B841">
        <v>110608</v>
      </c>
    </row>
    <row r="842" spans="1:2" x14ac:dyDescent="0.25">
      <c r="A842" t="s">
        <v>3475</v>
      </c>
      <c r="B842">
        <v>110617</v>
      </c>
    </row>
    <row r="843" spans="1:2" x14ac:dyDescent="0.25">
      <c r="A843" t="s">
        <v>3476</v>
      </c>
      <c r="B843">
        <v>110510</v>
      </c>
    </row>
    <row r="844" spans="1:2" x14ac:dyDescent="0.25">
      <c r="A844" t="s">
        <v>3477</v>
      </c>
      <c r="B844">
        <v>366711</v>
      </c>
    </row>
    <row r="845" spans="1:2" x14ac:dyDescent="0.25">
      <c r="A845" t="s">
        <v>3478</v>
      </c>
      <c r="B845">
        <v>110495</v>
      </c>
    </row>
    <row r="846" spans="1:2" x14ac:dyDescent="0.25">
      <c r="A846" t="s">
        <v>3479</v>
      </c>
      <c r="B846">
        <v>483443</v>
      </c>
    </row>
    <row r="847" spans="1:2" x14ac:dyDescent="0.25">
      <c r="A847" t="s">
        <v>3480</v>
      </c>
      <c r="B847">
        <v>211361</v>
      </c>
    </row>
    <row r="848" spans="1:2" x14ac:dyDescent="0.25">
      <c r="A848" t="s">
        <v>3481</v>
      </c>
      <c r="B848">
        <v>496043</v>
      </c>
    </row>
    <row r="849" spans="1:2" x14ac:dyDescent="0.25">
      <c r="A849" t="s">
        <v>3482</v>
      </c>
      <c r="B849">
        <v>111391</v>
      </c>
    </row>
    <row r="850" spans="1:2" x14ac:dyDescent="0.25">
      <c r="A850" t="s">
        <v>3483</v>
      </c>
      <c r="B850">
        <v>150172</v>
      </c>
    </row>
    <row r="851" spans="1:2" x14ac:dyDescent="0.25">
      <c r="A851" t="s">
        <v>3484</v>
      </c>
      <c r="B851">
        <v>176789</v>
      </c>
    </row>
    <row r="852" spans="1:2" x14ac:dyDescent="0.25">
      <c r="A852" t="s">
        <v>3485</v>
      </c>
      <c r="B852">
        <v>169099</v>
      </c>
    </row>
    <row r="853" spans="1:2" x14ac:dyDescent="0.25">
      <c r="A853" t="s">
        <v>3486</v>
      </c>
      <c r="B853">
        <v>169080</v>
      </c>
    </row>
    <row r="854" spans="1:2" x14ac:dyDescent="0.25">
      <c r="A854" t="s">
        <v>3487</v>
      </c>
      <c r="B854">
        <v>165167</v>
      </c>
    </row>
    <row r="855" spans="1:2" x14ac:dyDescent="0.25">
      <c r="A855" t="s">
        <v>3488</v>
      </c>
      <c r="B855">
        <v>454865</v>
      </c>
    </row>
    <row r="856" spans="1:2" x14ac:dyDescent="0.25">
      <c r="A856" t="s">
        <v>3489</v>
      </c>
      <c r="B856">
        <v>446109</v>
      </c>
    </row>
    <row r="857" spans="1:2" x14ac:dyDescent="0.25">
      <c r="A857" t="s">
        <v>3490</v>
      </c>
      <c r="B857">
        <v>444264</v>
      </c>
    </row>
    <row r="858" spans="1:2" x14ac:dyDescent="0.25">
      <c r="A858" t="s">
        <v>3491</v>
      </c>
      <c r="B858">
        <v>183938</v>
      </c>
    </row>
    <row r="859" spans="1:2" x14ac:dyDescent="0.25">
      <c r="A859" t="s">
        <v>3492</v>
      </c>
      <c r="B859">
        <v>143464</v>
      </c>
    </row>
    <row r="860" spans="1:2" x14ac:dyDescent="0.25">
      <c r="A860" t="s">
        <v>3493</v>
      </c>
      <c r="B860">
        <v>230065</v>
      </c>
    </row>
    <row r="861" spans="1:2" x14ac:dyDescent="0.25">
      <c r="A861" t="s">
        <v>3494</v>
      </c>
      <c r="B861">
        <v>206914</v>
      </c>
    </row>
    <row r="862" spans="1:2" x14ac:dyDescent="0.25">
      <c r="A862" t="s">
        <v>3495</v>
      </c>
      <c r="B862">
        <v>198136</v>
      </c>
    </row>
    <row r="863" spans="1:2" x14ac:dyDescent="0.25">
      <c r="A863" t="s">
        <v>3496</v>
      </c>
      <c r="B863">
        <v>156365</v>
      </c>
    </row>
    <row r="864" spans="1:2" x14ac:dyDescent="0.25">
      <c r="A864" t="s">
        <v>3497</v>
      </c>
      <c r="B864">
        <v>111434</v>
      </c>
    </row>
    <row r="865" spans="1:2" x14ac:dyDescent="0.25">
      <c r="A865" t="s">
        <v>3498</v>
      </c>
      <c r="B865">
        <v>365374</v>
      </c>
    </row>
    <row r="866" spans="1:2" x14ac:dyDescent="0.25">
      <c r="A866" t="s">
        <v>3499</v>
      </c>
      <c r="B866">
        <v>189705</v>
      </c>
    </row>
    <row r="867" spans="1:2" x14ac:dyDescent="0.25">
      <c r="A867" t="s">
        <v>3500</v>
      </c>
      <c r="B867">
        <v>200208</v>
      </c>
    </row>
    <row r="868" spans="1:2" x14ac:dyDescent="0.25">
      <c r="A868" t="s">
        <v>3501</v>
      </c>
      <c r="B868">
        <v>401481</v>
      </c>
    </row>
    <row r="869" spans="1:2" x14ac:dyDescent="0.25">
      <c r="A869" t="s">
        <v>3502</v>
      </c>
      <c r="B869">
        <v>143482</v>
      </c>
    </row>
    <row r="870" spans="1:2" x14ac:dyDescent="0.25">
      <c r="A870" t="s">
        <v>3502</v>
      </c>
      <c r="B870">
        <v>143491</v>
      </c>
    </row>
    <row r="871" spans="1:2" x14ac:dyDescent="0.25">
      <c r="A871" t="s">
        <v>3503</v>
      </c>
      <c r="B871">
        <v>143473</v>
      </c>
    </row>
    <row r="872" spans="1:2" x14ac:dyDescent="0.25">
      <c r="A872" t="s">
        <v>3504</v>
      </c>
      <c r="B872">
        <v>201539</v>
      </c>
    </row>
    <row r="873" spans="1:2" x14ac:dyDescent="0.25">
      <c r="A873" t="s">
        <v>3505</v>
      </c>
      <c r="B873">
        <v>165194</v>
      </c>
    </row>
    <row r="874" spans="1:2" x14ac:dyDescent="0.25">
      <c r="A874" t="s">
        <v>3506</v>
      </c>
      <c r="B874">
        <v>431558</v>
      </c>
    </row>
    <row r="875" spans="1:2" x14ac:dyDescent="0.25">
      <c r="A875" t="s">
        <v>3507</v>
      </c>
      <c r="B875">
        <v>198154</v>
      </c>
    </row>
    <row r="876" spans="1:2" x14ac:dyDescent="0.25">
      <c r="A876" t="s">
        <v>3508</v>
      </c>
      <c r="B876">
        <v>176798</v>
      </c>
    </row>
    <row r="877" spans="1:2" x14ac:dyDescent="0.25">
      <c r="A877" t="s">
        <v>3509</v>
      </c>
      <c r="B877">
        <v>413413</v>
      </c>
    </row>
    <row r="878" spans="1:2" x14ac:dyDescent="0.25">
      <c r="A878" t="s">
        <v>3510</v>
      </c>
      <c r="B878">
        <v>461704</v>
      </c>
    </row>
    <row r="879" spans="1:2" x14ac:dyDescent="0.25">
      <c r="A879" t="s">
        <v>3511</v>
      </c>
      <c r="B879">
        <v>367972</v>
      </c>
    </row>
    <row r="880" spans="1:2" x14ac:dyDescent="0.25">
      <c r="A880" t="s">
        <v>3512</v>
      </c>
      <c r="B880">
        <v>129367</v>
      </c>
    </row>
    <row r="881" spans="1:2" x14ac:dyDescent="0.25">
      <c r="A881" t="s">
        <v>3513</v>
      </c>
      <c r="B881">
        <v>201548</v>
      </c>
    </row>
    <row r="882" spans="1:2" x14ac:dyDescent="0.25">
      <c r="A882" t="s">
        <v>3514</v>
      </c>
      <c r="B882">
        <v>365693</v>
      </c>
    </row>
    <row r="883" spans="1:2" x14ac:dyDescent="0.25">
      <c r="A883" t="s">
        <v>3515</v>
      </c>
      <c r="B883">
        <v>162061</v>
      </c>
    </row>
    <row r="884" spans="1:2" x14ac:dyDescent="0.25">
      <c r="A884" t="s">
        <v>3516</v>
      </c>
      <c r="B884">
        <v>143552</v>
      </c>
    </row>
    <row r="885" spans="1:2" x14ac:dyDescent="0.25">
      <c r="A885" t="s">
        <v>3516</v>
      </c>
      <c r="B885">
        <v>457031</v>
      </c>
    </row>
    <row r="886" spans="1:2" x14ac:dyDescent="0.25">
      <c r="A886" t="s">
        <v>3517</v>
      </c>
      <c r="B886">
        <v>153083</v>
      </c>
    </row>
    <row r="887" spans="1:2" x14ac:dyDescent="0.25">
      <c r="A887" t="s">
        <v>3518</v>
      </c>
      <c r="B887">
        <v>154448</v>
      </c>
    </row>
    <row r="888" spans="1:2" x14ac:dyDescent="0.25">
      <c r="A888" t="s">
        <v>3519</v>
      </c>
      <c r="B888">
        <v>153074</v>
      </c>
    </row>
    <row r="889" spans="1:2" x14ac:dyDescent="0.25">
      <c r="A889" t="s">
        <v>3520</v>
      </c>
      <c r="B889">
        <v>189714</v>
      </c>
    </row>
    <row r="890" spans="1:2" x14ac:dyDescent="0.25">
      <c r="A890" t="s">
        <v>3521</v>
      </c>
      <c r="B890">
        <v>407391</v>
      </c>
    </row>
    <row r="891" spans="1:2" x14ac:dyDescent="0.25">
      <c r="A891" t="s">
        <v>3522</v>
      </c>
      <c r="B891">
        <v>363077</v>
      </c>
    </row>
    <row r="892" spans="1:2" x14ac:dyDescent="0.25">
      <c r="A892" t="s">
        <v>3523</v>
      </c>
      <c r="B892">
        <v>407407</v>
      </c>
    </row>
    <row r="893" spans="1:2" x14ac:dyDescent="0.25">
      <c r="A893" t="s">
        <v>3524</v>
      </c>
      <c r="B893">
        <v>407425</v>
      </c>
    </row>
    <row r="894" spans="1:2" x14ac:dyDescent="0.25">
      <c r="A894" t="s">
        <v>3525</v>
      </c>
      <c r="B894">
        <v>377759</v>
      </c>
    </row>
    <row r="895" spans="1:2" x14ac:dyDescent="0.25">
      <c r="A895" t="s">
        <v>3526</v>
      </c>
      <c r="B895">
        <v>455707</v>
      </c>
    </row>
    <row r="896" spans="1:2" x14ac:dyDescent="0.25">
      <c r="A896" t="s">
        <v>3527</v>
      </c>
      <c r="B896">
        <v>238430</v>
      </c>
    </row>
    <row r="897" spans="1:2" x14ac:dyDescent="0.25">
      <c r="A897" t="s">
        <v>3528</v>
      </c>
      <c r="B897">
        <v>111513</v>
      </c>
    </row>
    <row r="898" spans="1:2" x14ac:dyDescent="0.25">
      <c r="A898" t="s">
        <v>3529</v>
      </c>
      <c r="B898">
        <v>107220</v>
      </c>
    </row>
    <row r="899" spans="1:2" x14ac:dyDescent="0.25">
      <c r="A899" t="s">
        <v>3530</v>
      </c>
      <c r="B899">
        <v>418205</v>
      </c>
    </row>
    <row r="900" spans="1:2" x14ac:dyDescent="0.25">
      <c r="A900" t="s">
        <v>3531</v>
      </c>
      <c r="B900">
        <v>444468</v>
      </c>
    </row>
    <row r="901" spans="1:2" x14ac:dyDescent="0.25">
      <c r="A901" t="s">
        <v>3532</v>
      </c>
      <c r="B901">
        <v>446118</v>
      </c>
    </row>
    <row r="902" spans="1:2" x14ac:dyDescent="0.25">
      <c r="A902" t="s">
        <v>3533</v>
      </c>
      <c r="B902">
        <v>417442</v>
      </c>
    </row>
    <row r="903" spans="1:2" x14ac:dyDescent="0.25">
      <c r="A903" t="s">
        <v>3534</v>
      </c>
      <c r="B903">
        <v>181941</v>
      </c>
    </row>
    <row r="904" spans="1:2" x14ac:dyDescent="0.25">
      <c r="A904" t="s">
        <v>3535</v>
      </c>
      <c r="B904">
        <v>454801</v>
      </c>
    </row>
    <row r="905" spans="1:2" x14ac:dyDescent="0.25">
      <c r="A905" t="s">
        <v>3536</v>
      </c>
      <c r="B905">
        <v>433013</v>
      </c>
    </row>
    <row r="906" spans="1:2" x14ac:dyDescent="0.25">
      <c r="A906" t="s">
        <v>3537</v>
      </c>
      <c r="B906">
        <v>490568</v>
      </c>
    </row>
    <row r="907" spans="1:2" x14ac:dyDescent="0.25">
      <c r="A907" t="s">
        <v>3538</v>
      </c>
      <c r="B907">
        <v>454306</v>
      </c>
    </row>
    <row r="908" spans="1:2" x14ac:dyDescent="0.25">
      <c r="A908" t="s">
        <v>3539</v>
      </c>
      <c r="B908">
        <v>446136</v>
      </c>
    </row>
    <row r="909" spans="1:2" x14ac:dyDescent="0.25">
      <c r="A909" t="s">
        <v>3540</v>
      </c>
      <c r="B909">
        <v>455220</v>
      </c>
    </row>
    <row r="910" spans="1:2" x14ac:dyDescent="0.25">
      <c r="A910" t="s">
        <v>3541</v>
      </c>
      <c r="B910">
        <v>420370</v>
      </c>
    </row>
    <row r="911" spans="1:2" x14ac:dyDescent="0.25">
      <c r="A911" t="s">
        <v>3542</v>
      </c>
      <c r="B911">
        <v>246071</v>
      </c>
    </row>
    <row r="912" spans="1:2" x14ac:dyDescent="0.25">
      <c r="A912" t="s">
        <v>3543</v>
      </c>
      <c r="B912">
        <v>493734</v>
      </c>
    </row>
    <row r="913" spans="1:2" x14ac:dyDescent="0.25">
      <c r="A913" t="s">
        <v>3544</v>
      </c>
      <c r="B913">
        <v>448239</v>
      </c>
    </row>
    <row r="914" spans="1:2" x14ac:dyDescent="0.25">
      <c r="A914" t="s">
        <v>3545</v>
      </c>
      <c r="B914">
        <v>489256</v>
      </c>
    </row>
    <row r="915" spans="1:2" x14ac:dyDescent="0.25">
      <c r="A915" t="s">
        <v>3546</v>
      </c>
      <c r="B915">
        <v>441706</v>
      </c>
    </row>
    <row r="916" spans="1:2" x14ac:dyDescent="0.25">
      <c r="A916" t="s">
        <v>3547</v>
      </c>
      <c r="B916">
        <v>241377</v>
      </c>
    </row>
    <row r="917" spans="1:2" x14ac:dyDescent="0.25">
      <c r="A917" t="s">
        <v>3548</v>
      </c>
      <c r="B917">
        <v>241386</v>
      </c>
    </row>
    <row r="918" spans="1:2" x14ac:dyDescent="0.25">
      <c r="A918" t="s">
        <v>3549</v>
      </c>
      <c r="B918">
        <v>363907</v>
      </c>
    </row>
    <row r="919" spans="1:2" x14ac:dyDescent="0.25">
      <c r="A919" t="s">
        <v>3550</v>
      </c>
      <c r="B919">
        <v>363916</v>
      </c>
    </row>
    <row r="920" spans="1:2" x14ac:dyDescent="0.25">
      <c r="A920" t="s">
        <v>3551</v>
      </c>
      <c r="B920">
        <v>491941</v>
      </c>
    </row>
    <row r="921" spans="1:2" x14ac:dyDescent="0.25">
      <c r="A921" t="s">
        <v>3552</v>
      </c>
      <c r="B921">
        <v>206923</v>
      </c>
    </row>
    <row r="922" spans="1:2" x14ac:dyDescent="0.25">
      <c r="A922" t="s">
        <v>3553</v>
      </c>
      <c r="B922">
        <v>143613</v>
      </c>
    </row>
    <row r="923" spans="1:2" x14ac:dyDescent="0.25">
      <c r="A923" t="s">
        <v>3554</v>
      </c>
      <c r="B923">
        <v>173258</v>
      </c>
    </row>
    <row r="924" spans="1:2" x14ac:dyDescent="0.25">
      <c r="A924" t="s">
        <v>3555</v>
      </c>
      <c r="B924">
        <v>211431</v>
      </c>
    </row>
    <row r="925" spans="1:2" x14ac:dyDescent="0.25">
      <c r="A925" t="s">
        <v>3556</v>
      </c>
      <c r="B925">
        <v>451194</v>
      </c>
    </row>
    <row r="926" spans="1:2" x14ac:dyDescent="0.25">
      <c r="A926" t="s">
        <v>3557</v>
      </c>
      <c r="B926">
        <v>169187</v>
      </c>
    </row>
    <row r="927" spans="1:2" x14ac:dyDescent="0.25">
      <c r="A927" t="s">
        <v>3558</v>
      </c>
      <c r="B927">
        <v>211440</v>
      </c>
    </row>
    <row r="928" spans="1:2" x14ac:dyDescent="0.25">
      <c r="A928" t="s">
        <v>3559</v>
      </c>
      <c r="B928">
        <v>199971</v>
      </c>
    </row>
    <row r="929" spans="1:2" x14ac:dyDescent="0.25">
      <c r="A929" t="s">
        <v>3560</v>
      </c>
      <c r="B929">
        <v>461032</v>
      </c>
    </row>
    <row r="930" spans="1:2" x14ac:dyDescent="0.25">
      <c r="A930" t="s">
        <v>3561</v>
      </c>
      <c r="B930">
        <v>460765</v>
      </c>
    </row>
    <row r="931" spans="1:2" x14ac:dyDescent="0.25">
      <c r="A931" t="s">
        <v>3562</v>
      </c>
      <c r="B931">
        <v>198190</v>
      </c>
    </row>
    <row r="932" spans="1:2" x14ac:dyDescent="0.25">
      <c r="A932" t="s">
        <v>3563</v>
      </c>
      <c r="B932">
        <v>489937</v>
      </c>
    </row>
    <row r="933" spans="1:2" x14ac:dyDescent="0.25">
      <c r="A933" t="s">
        <v>3564</v>
      </c>
      <c r="B933">
        <v>433174</v>
      </c>
    </row>
    <row r="934" spans="1:2" x14ac:dyDescent="0.25">
      <c r="A934" t="s">
        <v>3565</v>
      </c>
      <c r="B934">
        <v>485467</v>
      </c>
    </row>
    <row r="935" spans="1:2" x14ac:dyDescent="0.25">
      <c r="A935" t="s">
        <v>3566</v>
      </c>
      <c r="B935">
        <v>442602</v>
      </c>
    </row>
    <row r="936" spans="1:2" x14ac:dyDescent="0.25">
      <c r="A936" t="s">
        <v>3567</v>
      </c>
      <c r="B936">
        <v>142054</v>
      </c>
    </row>
    <row r="937" spans="1:2" x14ac:dyDescent="0.25">
      <c r="A937" t="s">
        <v>3568</v>
      </c>
      <c r="B937">
        <v>450702</v>
      </c>
    </row>
    <row r="938" spans="1:2" x14ac:dyDescent="0.25">
      <c r="A938" t="s">
        <v>3569</v>
      </c>
      <c r="B938">
        <v>457101</v>
      </c>
    </row>
    <row r="939" spans="1:2" x14ac:dyDescent="0.25">
      <c r="A939" t="s">
        <v>3570</v>
      </c>
      <c r="B939">
        <v>103909</v>
      </c>
    </row>
    <row r="940" spans="1:2" x14ac:dyDescent="0.25">
      <c r="A940" t="s">
        <v>3571</v>
      </c>
      <c r="B940">
        <v>475750</v>
      </c>
    </row>
    <row r="941" spans="1:2" x14ac:dyDescent="0.25">
      <c r="A941" t="s">
        <v>3572</v>
      </c>
      <c r="B941">
        <v>467368</v>
      </c>
    </row>
    <row r="942" spans="1:2" x14ac:dyDescent="0.25">
      <c r="A942" t="s">
        <v>3573</v>
      </c>
      <c r="B942">
        <v>103893</v>
      </c>
    </row>
    <row r="943" spans="1:2" x14ac:dyDescent="0.25">
      <c r="A943" t="s">
        <v>3574</v>
      </c>
      <c r="B943">
        <v>438258</v>
      </c>
    </row>
    <row r="944" spans="1:2" x14ac:dyDescent="0.25">
      <c r="A944" t="s">
        <v>3575</v>
      </c>
      <c r="B944">
        <v>246035</v>
      </c>
    </row>
    <row r="945" spans="1:2" x14ac:dyDescent="0.25">
      <c r="A945" t="s">
        <v>3576</v>
      </c>
      <c r="B945">
        <v>457110</v>
      </c>
    </row>
    <row r="946" spans="1:2" x14ac:dyDescent="0.25">
      <c r="A946" t="s">
        <v>3577</v>
      </c>
      <c r="B946">
        <v>125532</v>
      </c>
    </row>
    <row r="947" spans="1:2" x14ac:dyDescent="0.25">
      <c r="A947" t="s">
        <v>3578</v>
      </c>
      <c r="B947">
        <v>437936</v>
      </c>
    </row>
    <row r="948" spans="1:2" x14ac:dyDescent="0.25">
      <c r="A948" t="s">
        <v>3579</v>
      </c>
      <c r="B948">
        <v>246974</v>
      </c>
    </row>
    <row r="949" spans="1:2" x14ac:dyDescent="0.25">
      <c r="A949" t="s">
        <v>3580</v>
      </c>
      <c r="B949">
        <v>439118</v>
      </c>
    </row>
    <row r="950" spans="1:2" x14ac:dyDescent="0.25">
      <c r="A950" t="s">
        <v>3581</v>
      </c>
      <c r="B950">
        <v>450696</v>
      </c>
    </row>
    <row r="951" spans="1:2" x14ac:dyDescent="0.25">
      <c r="A951" t="s">
        <v>3582</v>
      </c>
      <c r="B951">
        <v>103927</v>
      </c>
    </row>
    <row r="952" spans="1:2" x14ac:dyDescent="0.25">
      <c r="A952" t="s">
        <v>3583</v>
      </c>
      <c r="B952">
        <v>180106</v>
      </c>
    </row>
    <row r="953" spans="1:2" x14ac:dyDescent="0.25">
      <c r="A953" t="s">
        <v>3584</v>
      </c>
      <c r="B953">
        <v>405872</v>
      </c>
    </row>
    <row r="954" spans="1:2" x14ac:dyDescent="0.25">
      <c r="A954" t="s">
        <v>3585</v>
      </c>
      <c r="B954">
        <v>238458</v>
      </c>
    </row>
    <row r="955" spans="1:2" x14ac:dyDescent="0.25">
      <c r="A955" t="s">
        <v>3586</v>
      </c>
      <c r="B955">
        <v>219806</v>
      </c>
    </row>
    <row r="956" spans="1:2" x14ac:dyDescent="0.25">
      <c r="A956" t="s">
        <v>3587</v>
      </c>
      <c r="B956">
        <v>447430</v>
      </c>
    </row>
    <row r="957" spans="1:2" x14ac:dyDescent="0.25">
      <c r="A957" t="s">
        <v>3588</v>
      </c>
      <c r="B957">
        <v>198206</v>
      </c>
    </row>
    <row r="958" spans="1:2" x14ac:dyDescent="0.25">
      <c r="A958" t="s">
        <v>3589</v>
      </c>
      <c r="B958">
        <v>238476</v>
      </c>
    </row>
    <row r="959" spans="1:2" x14ac:dyDescent="0.25">
      <c r="A959" t="s">
        <v>3590</v>
      </c>
      <c r="B959">
        <v>481049</v>
      </c>
    </row>
    <row r="960" spans="1:2" x14ac:dyDescent="0.25">
      <c r="A960" t="s">
        <v>3591</v>
      </c>
      <c r="B960">
        <v>430795</v>
      </c>
    </row>
    <row r="961" spans="1:2" x14ac:dyDescent="0.25">
      <c r="A961" t="s">
        <v>3592</v>
      </c>
      <c r="B961">
        <v>111638</v>
      </c>
    </row>
    <row r="962" spans="1:2" x14ac:dyDescent="0.25">
      <c r="A962" t="s">
        <v>3593</v>
      </c>
      <c r="B962">
        <v>203438</v>
      </c>
    </row>
    <row r="963" spans="1:2" x14ac:dyDescent="0.25">
      <c r="A963" t="s">
        <v>3594</v>
      </c>
      <c r="B963">
        <v>455211</v>
      </c>
    </row>
    <row r="964" spans="1:2" x14ac:dyDescent="0.25">
      <c r="A964" t="s">
        <v>3595</v>
      </c>
      <c r="B964">
        <v>439190</v>
      </c>
    </row>
    <row r="965" spans="1:2" x14ac:dyDescent="0.25">
      <c r="A965" t="s">
        <v>3596</v>
      </c>
      <c r="B965">
        <v>201645</v>
      </c>
    </row>
    <row r="966" spans="1:2" x14ac:dyDescent="0.25">
      <c r="A966" t="s">
        <v>3597</v>
      </c>
      <c r="B966">
        <v>240505</v>
      </c>
    </row>
    <row r="967" spans="1:2" x14ac:dyDescent="0.25">
      <c r="A967" t="s">
        <v>3598</v>
      </c>
      <c r="B967">
        <v>417682</v>
      </c>
    </row>
    <row r="968" spans="1:2" x14ac:dyDescent="0.25">
      <c r="A968" t="s">
        <v>3599</v>
      </c>
      <c r="B968">
        <v>230834</v>
      </c>
    </row>
    <row r="969" spans="1:2" x14ac:dyDescent="0.25">
      <c r="A969" t="s">
        <v>3600</v>
      </c>
      <c r="B969">
        <v>198215</v>
      </c>
    </row>
    <row r="970" spans="1:2" x14ac:dyDescent="0.25">
      <c r="A970" t="s">
        <v>3601</v>
      </c>
      <c r="B970">
        <v>198233</v>
      </c>
    </row>
    <row r="971" spans="1:2" x14ac:dyDescent="0.25">
      <c r="A971" t="s">
        <v>3602</v>
      </c>
      <c r="B971">
        <v>165255</v>
      </c>
    </row>
    <row r="972" spans="1:2" x14ac:dyDescent="0.25">
      <c r="A972" t="s">
        <v>3603</v>
      </c>
      <c r="B972">
        <v>475398</v>
      </c>
    </row>
    <row r="973" spans="1:2" x14ac:dyDescent="0.25">
      <c r="A973" t="s">
        <v>3604</v>
      </c>
      <c r="B973">
        <v>143659</v>
      </c>
    </row>
    <row r="974" spans="1:2" x14ac:dyDescent="0.25">
      <c r="A974" t="s">
        <v>3605</v>
      </c>
      <c r="B974">
        <v>417983</v>
      </c>
    </row>
    <row r="975" spans="1:2" x14ac:dyDescent="0.25">
      <c r="A975" t="s">
        <v>3606</v>
      </c>
      <c r="B975">
        <v>430306</v>
      </c>
    </row>
    <row r="976" spans="1:2" x14ac:dyDescent="0.25">
      <c r="A976" t="s">
        <v>3607</v>
      </c>
      <c r="B976">
        <v>189839</v>
      </c>
    </row>
    <row r="977" spans="1:2" x14ac:dyDescent="0.25">
      <c r="A977" t="s">
        <v>3608</v>
      </c>
      <c r="B977">
        <v>430883</v>
      </c>
    </row>
    <row r="978" spans="1:2" x14ac:dyDescent="0.25">
      <c r="A978" t="s">
        <v>3609</v>
      </c>
      <c r="B978">
        <v>189848</v>
      </c>
    </row>
    <row r="979" spans="1:2" x14ac:dyDescent="0.25">
      <c r="A979" t="s">
        <v>3610</v>
      </c>
      <c r="B979">
        <v>439367</v>
      </c>
    </row>
    <row r="980" spans="1:2" x14ac:dyDescent="0.25">
      <c r="A980" t="s">
        <v>3611</v>
      </c>
      <c r="B980">
        <v>456977</v>
      </c>
    </row>
    <row r="981" spans="1:2" x14ac:dyDescent="0.25">
      <c r="A981" t="s">
        <v>3612</v>
      </c>
      <c r="B981">
        <v>449092</v>
      </c>
    </row>
    <row r="982" spans="1:2" x14ac:dyDescent="0.25">
      <c r="A982" t="s">
        <v>3613</v>
      </c>
      <c r="B982">
        <v>449083</v>
      </c>
    </row>
    <row r="983" spans="1:2" x14ac:dyDescent="0.25">
      <c r="A983" t="s">
        <v>3614</v>
      </c>
      <c r="B983">
        <v>449773</v>
      </c>
    </row>
    <row r="984" spans="1:2" x14ac:dyDescent="0.25">
      <c r="A984" t="s">
        <v>3615</v>
      </c>
      <c r="B984">
        <v>447874</v>
      </c>
    </row>
    <row r="985" spans="1:2" x14ac:dyDescent="0.25">
      <c r="A985" t="s">
        <v>3616</v>
      </c>
      <c r="B985">
        <v>451495</v>
      </c>
    </row>
    <row r="986" spans="1:2" x14ac:dyDescent="0.25">
      <c r="A986" t="s">
        <v>3617</v>
      </c>
      <c r="B986">
        <v>162104</v>
      </c>
    </row>
    <row r="987" spans="1:2" x14ac:dyDescent="0.25">
      <c r="A987" t="s">
        <v>3618</v>
      </c>
      <c r="B987">
        <v>211468</v>
      </c>
    </row>
    <row r="988" spans="1:2" x14ac:dyDescent="0.25">
      <c r="A988" t="s">
        <v>3619</v>
      </c>
      <c r="B988">
        <v>417053</v>
      </c>
    </row>
    <row r="989" spans="1:2" x14ac:dyDescent="0.25">
      <c r="A989" t="s">
        <v>3620</v>
      </c>
      <c r="B989">
        <v>201654</v>
      </c>
    </row>
    <row r="990" spans="1:2" x14ac:dyDescent="0.25">
      <c r="A990" t="s">
        <v>3621</v>
      </c>
      <c r="B990">
        <v>487621</v>
      </c>
    </row>
    <row r="991" spans="1:2" x14ac:dyDescent="0.25">
      <c r="A991" t="s">
        <v>3622</v>
      </c>
      <c r="B991">
        <v>454917</v>
      </c>
    </row>
    <row r="992" spans="1:2" x14ac:dyDescent="0.25">
      <c r="A992" t="s">
        <v>3623</v>
      </c>
      <c r="B992">
        <v>160126</v>
      </c>
    </row>
    <row r="993" spans="1:2" x14ac:dyDescent="0.25">
      <c r="A993" t="s">
        <v>3624</v>
      </c>
      <c r="B993">
        <v>451741</v>
      </c>
    </row>
    <row r="994" spans="1:2" x14ac:dyDescent="0.25">
      <c r="A994" t="s">
        <v>3625</v>
      </c>
      <c r="B994">
        <v>376224</v>
      </c>
    </row>
    <row r="995" spans="1:2" x14ac:dyDescent="0.25">
      <c r="A995" t="s">
        <v>3626</v>
      </c>
      <c r="B995">
        <v>484835</v>
      </c>
    </row>
    <row r="996" spans="1:2" x14ac:dyDescent="0.25">
      <c r="A996" t="s">
        <v>3627</v>
      </c>
      <c r="B996">
        <v>241517</v>
      </c>
    </row>
    <row r="997" spans="1:2" x14ac:dyDescent="0.25">
      <c r="A997" t="s">
        <v>3628</v>
      </c>
      <c r="B997">
        <v>158477</v>
      </c>
    </row>
    <row r="998" spans="1:2" x14ac:dyDescent="0.25">
      <c r="A998" t="s">
        <v>3629</v>
      </c>
      <c r="B998">
        <v>183974</v>
      </c>
    </row>
    <row r="999" spans="1:2" x14ac:dyDescent="0.25">
      <c r="A999" t="s">
        <v>3630</v>
      </c>
      <c r="B999">
        <v>379782</v>
      </c>
    </row>
    <row r="1000" spans="1:2" x14ac:dyDescent="0.25">
      <c r="A1000" t="s">
        <v>3631</v>
      </c>
      <c r="B1000">
        <v>241793</v>
      </c>
    </row>
    <row r="1001" spans="1:2" x14ac:dyDescent="0.25">
      <c r="A1001" t="s">
        <v>3632</v>
      </c>
      <c r="B1001">
        <v>451413</v>
      </c>
    </row>
    <row r="1002" spans="1:2" x14ac:dyDescent="0.25">
      <c r="A1002" t="s">
        <v>3633</v>
      </c>
      <c r="B1002">
        <v>364964</v>
      </c>
    </row>
    <row r="1003" spans="1:2" x14ac:dyDescent="0.25">
      <c r="A1003" t="s">
        <v>3634</v>
      </c>
      <c r="B1003">
        <v>455910</v>
      </c>
    </row>
    <row r="1004" spans="1:2" x14ac:dyDescent="0.25">
      <c r="A1004" t="s">
        <v>3635</v>
      </c>
      <c r="B1004">
        <v>488226</v>
      </c>
    </row>
    <row r="1005" spans="1:2" x14ac:dyDescent="0.25">
      <c r="A1005" t="s">
        <v>3636</v>
      </c>
      <c r="B1005">
        <v>481447</v>
      </c>
    </row>
    <row r="1006" spans="1:2" x14ac:dyDescent="0.25">
      <c r="A1006" t="s">
        <v>3637</v>
      </c>
      <c r="B1006">
        <v>486381</v>
      </c>
    </row>
    <row r="1007" spans="1:2" x14ac:dyDescent="0.25">
      <c r="A1007" t="s">
        <v>3638</v>
      </c>
      <c r="B1007">
        <v>457651</v>
      </c>
    </row>
    <row r="1008" spans="1:2" x14ac:dyDescent="0.25">
      <c r="A1008" t="s">
        <v>3639</v>
      </c>
      <c r="B1008">
        <v>232618</v>
      </c>
    </row>
    <row r="1009" spans="1:2" x14ac:dyDescent="0.25">
      <c r="A1009" t="s">
        <v>3640</v>
      </c>
      <c r="B1009">
        <v>100760</v>
      </c>
    </row>
    <row r="1010" spans="1:2" x14ac:dyDescent="0.25">
      <c r="A1010" t="s">
        <v>3641</v>
      </c>
      <c r="B1010">
        <v>104346</v>
      </c>
    </row>
    <row r="1011" spans="1:2" x14ac:dyDescent="0.25">
      <c r="A1011" t="s">
        <v>3642</v>
      </c>
      <c r="B1011">
        <v>106713</v>
      </c>
    </row>
    <row r="1012" spans="1:2" x14ac:dyDescent="0.25">
      <c r="A1012" t="s">
        <v>3643</v>
      </c>
      <c r="B1012">
        <v>419183</v>
      </c>
    </row>
    <row r="1013" spans="1:2" x14ac:dyDescent="0.25">
      <c r="A1013" t="s">
        <v>3644</v>
      </c>
      <c r="B1013">
        <v>436003</v>
      </c>
    </row>
    <row r="1014" spans="1:2" x14ac:dyDescent="0.25">
      <c r="A1014" t="s">
        <v>3645</v>
      </c>
      <c r="B1014">
        <v>198251</v>
      </c>
    </row>
    <row r="1015" spans="1:2" x14ac:dyDescent="0.25">
      <c r="A1015" t="s">
        <v>3646</v>
      </c>
      <c r="B1015">
        <v>218858</v>
      </c>
    </row>
    <row r="1016" spans="1:2" x14ac:dyDescent="0.25">
      <c r="A1016" t="s">
        <v>3647</v>
      </c>
      <c r="B1016">
        <v>154855</v>
      </c>
    </row>
    <row r="1017" spans="1:2" x14ac:dyDescent="0.25">
      <c r="A1017" t="s">
        <v>3648</v>
      </c>
      <c r="B1017">
        <v>176910</v>
      </c>
    </row>
    <row r="1018" spans="1:2" x14ac:dyDescent="0.25">
      <c r="A1018" t="s">
        <v>3649</v>
      </c>
      <c r="B1018">
        <v>378105</v>
      </c>
    </row>
    <row r="1019" spans="1:2" x14ac:dyDescent="0.25">
      <c r="A1019" t="s">
        <v>3650</v>
      </c>
      <c r="B1019">
        <v>153108</v>
      </c>
    </row>
    <row r="1020" spans="1:2" x14ac:dyDescent="0.25">
      <c r="A1020" t="s">
        <v>3651</v>
      </c>
      <c r="B1020">
        <v>417725</v>
      </c>
    </row>
    <row r="1021" spans="1:2" x14ac:dyDescent="0.25">
      <c r="A1021" t="s">
        <v>3652</v>
      </c>
      <c r="B1021">
        <v>180902</v>
      </c>
    </row>
    <row r="1022" spans="1:2" x14ac:dyDescent="0.25">
      <c r="A1022" t="s">
        <v>3653</v>
      </c>
      <c r="B1022">
        <v>128771</v>
      </c>
    </row>
    <row r="1023" spans="1:2" x14ac:dyDescent="0.25">
      <c r="A1023" t="s">
        <v>3654</v>
      </c>
      <c r="B1023">
        <v>483045</v>
      </c>
    </row>
    <row r="1024" spans="1:2" x14ac:dyDescent="0.25">
      <c r="A1024" t="s">
        <v>3655</v>
      </c>
      <c r="B1024">
        <v>173203</v>
      </c>
    </row>
    <row r="1025" spans="1:2" x14ac:dyDescent="0.25">
      <c r="A1025" t="s">
        <v>3656</v>
      </c>
      <c r="B1025">
        <v>158088</v>
      </c>
    </row>
    <row r="1026" spans="1:2" x14ac:dyDescent="0.25">
      <c r="A1026" t="s">
        <v>3657</v>
      </c>
      <c r="B1026">
        <v>161077</v>
      </c>
    </row>
    <row r="1027" spans="1:2" x14ac:dyDescent="0.25">
      <c r="A1027" t="s">
        <v>3658</v>
      </c>
      <c r="B1027">
        <v>445267</v>
      </c>
    </row>
    <row r="1028" spans="1:2" x14ac:dyDescent="0.25">
      <c r="A1028" t="s">
        <v>3659</v>
      </c>
      <c r="B1028">
        <v>176947</v>
      </c>
    </row>
    <row r="1029" spans="1:2" x14ac:dyDescent="0.25">
      <c r="A1029" t="s">
        <v>3660</v>
      </c>
      <c r="B1029">
        <v>169248</v>
      </c>
    </row>
    <row r="1030" spans="1:2" x14ac:dyDescent="0.25">
      <c r="A1030" t="s">
        <v>3661</v>
      </c>
      <c r="B1030">
        <v>187532</v>
      </c>
    </row>
    <row r="1031" spans="1:2" x14ac:dyDescent="0.25">
      <c r="A1031" t="s">
        <v>3662</v>
      </c>
      <c r="B1031">
        <v>201672</v>
      </c>
    </row>
    <row r="1032" spans="1:2" x14ac:dyDescent="0.25">
      <c r="A1032" t="s">
        <v>3663</v>
      </c>
      <c r="B1032">
        <v>206932</v>
      </c>
    </row>
    <row r="1033" spans="1:2" x14ac:dyDescent="0.25">
      <c r="A1033" t="s">
        <v>3664</v>
      </c>
      <c r="B1033">
        <v>208318</v>
      </c>
    </row>
    <row r="1034" spans="1:2" x14ac:dyDescent="0.25">
      <c r="A1034" t="s">
        <v>3665</v>
      </c>
      <c r="B1034">
        <v>211477</v>
      </c>
    </row>
    <row r="1035" spans="1:2" x14ac:dyDescent="0.25">
      <c r="A1035" t="s">
        <v>3666</v>
      </c>
      <c r="B1035">
        <v>493558</v>
      </c>
    </row>
    <row r="1036" spans="1:2" x14ac:dyDescent="0.25">
      <c r="A1036" t="s">
        <v>3667</v>
      </c>
      <c r="B1036">
        <v>369668</v>
      </c>
    </row>
    <row r="1037" spans="1:2" x14ac:dyDescent="0.25">
      <c r="A1037" t="s">
        <v>3668</v>
      </c>
      <c r="B1037">
        <v>198260</v>
      </c>
    </row>
    <row r="1038" spans="1:2" x14ac:dyDescent="0.25">
      <c r="A1038" t="s">
        <v>3669</v>
      </c>
      <c r="B1038">
        <v>201681</v>
      </c>
    </row>
    <row r="1039" spans="1:2" x14ac:dyDescent="0.25">
      <c r="A1039" t="s">
        <v>3669</v>
      </c>
      <c r="B1039">
        <v>231688</v>
      </c>
    </row>
    <row r="1040" spans="1:2" x14ac:dyDescent="0.25">
      <c r="A1040" t="s">
        <v>3670</v>
      </c>
      <c r="B1040">
        <v>201690</v>
      </c>
    </row>
    <row r="1041" spans="1:2" x14ac:dyDescent="0.25">
      <c r="A1041" t="s">
        <v>3671</v>
      </c>
      <c r="B1041">
        <v>406422</v>
      </c>
    </row>
    <row r="1042" spans="1:2" x14ac:dyDescent="0.25">
      <c r="A1042" t="s">
        <v>3672</v>
      </c>
      <c r="B1042">
        <v>246017</v>
      </c>
    </row>
    <row r="1043" spans="1:2" x14ac:dyDescent="0.25">
      <c r="A1043" t="s">
        <v>3673</v>
      </c>
      <c r="B1043">
        <v>246460</v>
      </c>
    </row>
    <row r="1044" spans="1:2" x14ac:dyDescent="0.25">
      <c r="A1044" t="s">
        <v>3674</v>
      </c>
      <c r="B1044">
        <v>383464</v>
      </c>
    </row>
    <row r="1045" spans="1:2" x14ac:dyDescent="0.25">
      <c r="A1045" t="s">
        <v>3675</v>
      </c>
      <c r="B1045">
        <v>223816</v>
      </c>
    </row>
    <row r="1046" spans="1:2" x14ac:dyDescent="0.25">
      <c r="A1046" t="s">
        <v>3676</v>
      </c>
      <c r="B1046">
        <v>231697</v>
      </c>
    </row>
    <row r="1047" spans="1:2" x14ac:dyDescent="0.25">
      <c r="A1047" t="s">
        <v>3677</v>
      </c>
      <c r="B1047">
        <v>234827</v>
      </c>
    </row>
    <row r="1048" spans="1:2" x14ac:dyDescent="0.25">
      <c r="A1048" t="s">
        <v>3678</v>
      </c>
      <c r="B1048">
        <v>240514</v>
      </c>
    </row>
    <row r="1049" spans="1:2" x14ac:dyDescent="0.25">
      <c r="A1049" t="s">
        <v>3679</v>
      </c>
      <c r="B1049">
        <v>488004</v>
      </c>
    </row>
    <row r="1050" spans="1:2" x14ac:dyDescent="0.25">
      <c r="A1050" t="s">
        <v>3680</v>
      </c>
      <c r="B1050">
        <v>189857</v>
      </c>
    </row>
    <row r="1051" spans="1:2" x14ac:dyDescent="0.25">
      <c r="A1051" t="s">
        <v>3681</v>
      </c>
      <c r="B1051">
        <v>491260</v>
      </c>
    </row>
    <row r="1052" spans="1:2" x14ac:dyDescent="0.25">
      <c r="A1052" t="s">
        <v>3682</v>
      </c>
      <c r="B1052">
        <v>234845</v>
      </c>
    </row>
    <row r="1053" spans="1:2" x14ac:dyDescent="0.25">
      <c r="A1053" t="s">
        <v>3683</v>
      </c>
      <c r="B1053">
        <v>156408</v>
      </c>
    </row>
    <row r="1054" spans="1:2" x14ac:dyDescent="0.25">
      <c r="A1054" t="s">
        <v>3684</v>
      </c>
      <c r="B1054">
        <v>420024</v>
      </c>
    </row>
    <row r="1055" spans="1:2" x14ac:dyDescent="0.25">
      <c r="A1055" t="s">
        <v>3685</v>
      </c>
      <c r="B1055">
        <v>377449</v>
      </c>
    </row>
    <row r="1056" spans="1:2" x14ac:dyDescent="0.25">
      <c r="A1056" t="s">
        <v>3686</v>
      </c>
      <c r="B1056">
        <v>377458</v>
      </c>
    </row>
    <row r="1057" spans="1:2" x14ac:dyDescent="0.25">
      <c r="A1057" t="s">
        <v>3687</v>
      </c>
      <c r="B1057">
        <v>427982</v>
      </c>
    </row>
    <row r="1058" spans="1:2" x14ac:dyDescent="0.25">
      <c r="A1058" t="s">
        <v>3688</v>
      </c>
      <c r="B1058">
        <v>232016</v>
      </c>
    </row>
    <row r="1059" spans="1:2" x14ac:dyDescent="0.25">
      <c r="A1059" t="s">
        <v>3689</v>
      </c>
      <c r="B1059">
        <v>175315</v>
      </c>
    </row>
    <row r="1060" spans="1:2" x14ac:dyDescent="0.25">
      <c r="A1060" t="s">
        <v>3689</v>
      </c>
      <c r="B1060">
        <v>436553</v>
      </c>
    </row>
    <row r="1061" spans="1:2" x14ac:dyDescent="0.25">
      <c r="A1061" t="s">
        <v>3690</v>
      </c>
      <c r="B1061">
        <v>111887</v>
      </c>
    </row>
    <row r="1062" spans="1:2" x14ac:dyDescent="0.25">
      <c r="A1062" t="s">
        <v>3691</v>
      </c>
      <c r="B1062">
        <v>111896</v>
      </c>
    </row>
    <row r="1063" spans="1:2" x14ac:dyDescent="0.25">
      <c r="A1063" t="s">
        <v>3692</v>
      </c>
      <c r="B1063">
        <v>444510</v>
      </c>
    </row>
    <row r="1064" spans="1:2" x14ac:dyDescent="0.25">
      <c r="A1064" t="s">
        <v>3693</v>
      </c>
      <c r="B1064">
        <v>427894</v>
      </c>
    </row>
    <row r="1065" spans="1:2" x14ac:dyDescent="0.25">
      <c r="A1065" t="s">
        <v>3694</v>
      </c>
      <c r="B1065">
        <v>381255</v>
      </c>
    </row>
    <row r="1066" spans="1:2" x14ac:dyDescent="0.25">
      <c r="A1066" t="s">
        <v>3695</v>
      </c>
      <c r="B1066">
        <v>111744</v>
      </c>
    </row>
    <row r="1067" spans="1:2" x14ac:dyDescent="0.25">
      <c r="A1067" t="s">
        <v>3696</v>
      </c>
      <c r="B1067">
        <v>111726</v>
      </c>
    </row>
    <row r="1068" spans="1:2" x14ac:dyDescent="0.25">
      <c r="A1068" t="s">
        <v>3697</v>
      </c>
      <c r="B1068">
        <v>432269</v>
      </c>
    </row>
    <row r="1069" spans="1:2" x14ac:dyDescent="0.25">
      <c r="A1069" t="s">
        <v>3698</v>
      </c>
      <c r="B1069">
        <v>381282</v>
      </c>
    </row>
    <row r="1070" spans="1:2" x14ac:dyDescent="0.25">
      <c r="A1070" t="s">
        <v>3699</v>
      </c>
      <c r="B1070">
        <v>111799</v>
      </c>
    </row>
    <row r="1071" spans="1:2" x14ac:dyDescent="0.25">
      <c r="A1071" t="s">
        <v>3700</v>
      </c>
      <c r="B1071">
        <v>111708</v>
      </c>
    </row>
    <row r="1072" spans="1:2" x14ac:dyDescent="0.25">
      <c r="A1072" t="s">
        <v>3701</v>
      </c>
      <c r="B1072">
        <v>111717</v>
      </c>
    </row>
    <row r="1073" spans="1:2" x14ac:dyDescent="0.25">
      <c r="A1073" t="s">
        <v>3702</v>
      </c>
      <c r="B1073">
        <v>381325</v>
      </c>
    </row>
    <row r="1074" spans="1:2" x14ac:dyDescent="0.25">
      <c r="A1074" t="s">
        <v>3703</v>
      </c>
      <c r="B1074">
        <v>468769</v>
      </c>
    </row>
    <row r="1075" spans="1:2" x14ac:dyDescent="0.25">
      <c r="A1075" t="s">
        <v>3704</v>
      </c>
      <c r="B1075">
        <v>111762</v>
      </c>
    </row>
    <row r="1076" spans="1:2" x14ac:dyDescent="0.25">
      <c r="A1076" t="s">
        <v>3705</v>
      </c>
      <c r="B1076">
        <v>111920</v>
      </c>
    </row>
    <row r="1077" spans="1:2" x14ac:dyDescent="0.25">
      <c r="A1077" t="s">
        <v>3706</v>
      </c>
      <c r="B1077">
        <v>180948</v>
      </c>
    </row>
    <row r="1078" spans="1:2" x14ac:dyDescent="0.25">
      <c r="A1078" t="s">
        <v>3707</v>
      </c>
      <c r="B1078">
        <v>111939</v>
      </c>
    </row>
    <row r="1079" spans="1:2" x14ac:dyDescent="0.25">
      <c r="A1079" t="s">
        <v>3708</v>
      </c>
      <c r="B1079">
        <v>454218</v>
      </c>
    </row>
    <row r="1080" spans="1:2" x14ac:dyDescent="0.25">
      <c r="A1080" t="s">
        <v>3709</v>
      </c>
      <c r="B1080">
        <v>454245</v>
      </c>
    </row>
    <row r="1081" spans="1:2" x14ac:dyDescent="0.25">
      <c r="A1081" t="s">
        <v>3710</v>
      </c>
      <c r="B1081">
        <v>489353</v>
      </c>
    </row>
    <row r="1082" spans="1:2" x14ac:dyDescent="0.25">
      <c r="A1082" t="s">
        <v>3711</v>
      </c>
      <c r="B1082">
        <v>457129</v>
      </c>
    </row>
    <row r="1083" spans="1:2" x14ac:dyDescent="0.25">
      <c r="A1083" t="s">
        <v>3712</v>
      </c>
      <c r="B1083">
        <v>475732</v>
      </c>
    </row>
    <row r="1084" spans="1:2" x14ac:dyDescent="0.25">
      <c r="A1084" t="s">
        <v>3713</v>
      </c>
      <c r="B1084">
        <v>454227</v>
      </c>
    </row>
    <row r="1085" spans="1:2" x14ac:dyDescent="0.25">
      <c r="A1085" t="s">
        <v>3714</v>
      </c>
      <c r="B1085">
        <v>475741</v>
      </c>
    </row>
    <row r="1086" spans="1:2" x14ac:dyDescent="0.25">
      <c r="A1086" t="s">
        <v>3715</v>
      </c>
      <c r="B1086">
        <v>492759</v>
      </c>
    </row>
    <row r="1087" spans="1:2" x14ac:dyDescent="0.25">
      <c r="A1087" t="s">
        <v>3716</v>
      </c>
      <c r="B1087">
        <v>486947</v>
      </c>
    </row>
    <row r="1088" spans="1:2" x14ac:dyDescent="0.25">
      <c r="A1088" t="s">
        <v>3717</v>
      </c>
      <c r="B1088">
        <v>466921</v>
      </c>
    </row>
    <row r="1089" spans="1:2" x14ac:dyDescent="0.25">
      <c r="A1089" t="s">
        <v>3718</v>
      </c>
      <c r="B1089">
        <v>486938</v>
      </c>
    </row>
    <row r="1090" spans="1:2" x14ac:dyDescent="0.25">
      <c r="A1090" t="s">
        <v>3719</v>
      </c>
      <c r="B1090">
        <v>486956</v>
      </c>
    </row>
    <row r="1091" spans="1:2" x14ac:dyDescent="0.25">
      <c r="A1091" t="s">
        <v>3720</v>
      </c>
      <c r="B1091">
        <v>489344</v>
      </c>
    </row>
    <row r="1092" spans="1:2" x14ac:dyDescent="0.25">
      <c r="A1092" t="s">
        <v>3721</v>
      </c>
      <c r="B1092">
        <v>454236</v>
      </c>
    </row>
    <row r="1093" spans="1:2" x14ac:dyDescent="0.25">
      <c r="A1093" t="s">
        <v>3722</v>
      </c>
      <c r="B1093">
        <v>466930</v>
      </c>
    </row>
    <row r="1094" spans="1:2" x14ac:dyDescent="0.25">
      <c r="A1094" t="s">
        <v>3723</v>
      </c>
      <c r="B1094">
        <v>460871</v>
      </c>
    </row>
    <row r="1095" spans="1:2" x14ac:dyDescent="0.25">
      <c r="A1095" t="s">
        <v>3724</v>
      </c>
      <c r="B1095">
        <v>141486</v>
      </c>
    </row>
    <row r="1096" spans="1:2" x14ac:dyDescent="0.25">
      <c r="A1096" t="s">
        <v>3725</v>
      </c>
      <c r="B1096">
        <v>449782</v>
      </c>
    </row>
    <row r="1097" spans="1:2" x14ac:dyDescent="0.25">
      <c r="A1097" t="s">
        <v>3726</v>
      </c>
      <c r="B1097">
        <v>492069</v>
      </c>
    </row>
    <row r="1098" spans="1:2" x14ac:dyDescent="0.25">
      <c r="A1098" t="s">
        <v>3727</v>
      </c>
      <c r="B1098">
        <v>230852</v>
      </c>
    </row>
    <row r="1099" spans="1:2" x14ac:dyDescent="0.25">
      <c r="A1099" t="s">
        <v>3728</v>
      </c>
      <c r="B1099">
        <v>483753</v>
      </c>
    </row>
    <row r="1100" spans="1:2" x14ac:dyDescent="0.25">
      <c r="A1100" t="s">
        <v>3729</v>
      </c>
      <c r="B1100">
        <v>364025</v>
      </c>
    </row>
    <row r="1101" spans="1:2" x14ac:dyDescent="0.25">
      <c r="A1101" t="s">
        <v>3730</v>
      </c>
      <c r="B1101">
        <v>111948</v>
      </c>
    </row>
    <row r="1102" spans="1:2" x14ac:dyDescent="0.25">
      <c r="A1102" t="s">
        <v>3731</v>
      </c>
      <c r="B1102">
        <v>123493</v>
      </c>
    </row>
    <row r="1103" spans="1:2" x14ac:dyDescent="0.25">
      <c r="A1103" t="s">
        <v>3732</v>
      </c>
      <c r="B1103">
        <v>223852</v>
      </c>
    </row>
    <row r="1104" spans="1:2" x14ac:dyDescent="0.25">
      <c r="A1104" t="s">
        <v>3733</v>
      </c>
      <c r="B1104">
        <v>419095</v>
      </c>
    </row>
    <row r="1105" spans="1:2" x14ac:dyDescent="0.25">
      <c r="A1105" t="s">
        <v>3734</v>
      </c>
      <c r="B1105">
        <v>104391</v>
      </c>
    </row>
    <row r="1106" spans="1:2" x14ac:dyDescent="0.25">
      <c r="A1106" t="s">
        <v>3735</v>
      </c>
      <c r="B1106">
        <v>111966</v>
      </c>
    </row>
    <row r="1107" spans="1:2" x14ac:dyDescent="0.25">
      <c r="A1107" t="s">
        <v>3736</v>
      </c>
      <c r="B1107">
        <v>418171</v>
      </c>
    </row>
    <row r="1108" spans="1:2" x14ac:dyDescent="0.25">
      <c r="A1108" t="s">
        <v>3737</v>
      </c>
      <c r="B1108">
        <v>217794</v>
      </c>
    </row>
    <row r="1109" spans="1:2" x14ac:dyDescent="0.25">
      <c r="A1109" t="s">
        <v>3738</v>
      </c>
      <c r="B1109">
        <v>237303</v>
      </c>
    </row>
    <row r="1110" spans="1:2" x14ac:dyDescent="0.25">
      <c r="A1110" t="s">
        <v>3739</v>
      </c>
      <c r="B1110">
        <v>451510</v>
      </c>
    </row>
    <row r="1111" spans="1:2" x14ac:dyDescent="0.25">
      <c r="A1111" t="s">
        <v>3740</v>
      </c>
      <c r="B1111">
        <v>217688</v>
      </c>
    </row>
    <row r="1112" spans="1:2" x14ac:dyDescent="0.25">
      <c r="A1112" t="s">
        <v>3741</v>
      </c>
      <c r="B1112">
        <v>443951</v>
      </c>
    </row>
    <row r="1113" spans="1:2" x14ac:dyDescent="0.25">
      <c r="A1113" t="s">
        <v>3742</v>
      </c>
      <c r="B1113">
        <v>444778</v>
      </c>
    </row>
    <row r="1114" spans="1:2" x14ac:dyDescent="0.25">
      <c r="A1114" t="s">
        <v>3743</v>
      </c>
      <c r="B1114">
        <v>132976</v>
      </c>
    </row>
    <row r="1115" spans="1:2" x14ac:dyDescent="0.25">
      <c r="A1115" t="s">
        <v>3744</v>
      </c>
      <c r="B1115">
        <v>102845</v>
      </c>
    </row>
    <row r="1116" spans="1:2" x14ac:dyDescent="0.25">
      <c r="A1116" t="s">
        <v>3745</v>
      </c>
      <c r="B1116">
        <v>128780</v>
      </c>
    </row>
    <row r="1117" spans="1:2" x14ac:dyDescent="0.25">
      <c r="A1117" t="s">
        <v>3746</v>
      </c>
      <c r="B1117">
        <v>217828</v>
      </c>
    </row>
    <row r="1118" spans="1:2" x14ac:dyDescent="0.25">
      <c r="A1118" t="s">
        <v>3747</v>
      </c>
      <c r="B1118">
        <v>201751</v>
      </c>
    </row>
    <row r="1119" spans="1:2" x14ac:dyDescent="0.25">
      <c r="A1119" t="s">
        <v>3748</v>
      </c>
      <c r="B1119">
        <v>211556</v>
      </c>
    </row>
    <row r="1120" spans="1:2" x14ac:dyDescent="0.25">
      <c r="A1120" t="s">
        <v>3749</v>
      </c>
      <c r="B1120">
        <v>140331</v>
      </c>
    </row>
    <row r="1121" spans="1:2" x14ac:dyDescent="0.25">
      <c r="A1121" t="s">
        <v>3750</v>
      </c>
      <c r="B1121">
        <v>101028</v>
      </c>
    </row>
    <row r="1122" spans="1:2" x14ac:dyDescent="0.25">
      <c r="A1122" t="s">
        <v>3751</v>
      </c>
      <c r="B1122">
        <v>220118</v>
      </c>
    </row>
    <row r="1123" spans="1:2" x14ac:dyDescent="0.25">
      <c r="A1123" t="s">
        <v>3752</v>
      </c>
      <c r="B1123">
        <v>219824</v>
      </c>
    </row>
    <row r="1124" spans="1:2" x14ac:dyDescent="0.25">
      <c r="A1124" t="s">
        <v>3753</v>
      </c>
      <c r="B1124">
        <v>240709</v>
      </c>
    </row>
    <row r="1125" spans="1:2" x14ac:dyDescent="0.25">
      <c r="A1125" t="s">
        <v>3753</v>
      </c>
      <c r="B1125">
        <v>381699</v>
      </c>
    </row>
    <row r="1126" spans="1:2" x14ac:dyDescent="0.25">
      <c r="A1126" t="s">
        <v>3754</v>
      </c>
      <c r="B1126">
        <v>208390</v>
      </c>
    </row>
    <row r="1127" spans="1:2" x14ac:dyDescent="0.25">
      <c r="A1127" t="s">
        <v>3755</v>
      </c>
      <c r="B1127">
        <v>162168</v>
      </c>
    </row>
    <row r="1128" spans="1:2" x14ac:dyDescent="0.25">
      <c r="A1128" t="s">
        <v>3756</v>
      </c>
      <c r="B1128">
        <v>437769</v>
      </c>
    </row>
    <row r="1129" spans="1:2" x14ac:dyDescent="0.25">
      <c r="A1129" t="s">
        <v>3757</v>
      </c>
      <c r="B1129">
        <v>418427</v>
      </c>
    </row>
    <row r="1130" spans="1:2" x14ac:dyDescent="0.25">
      <c r="A1130" t="s">
        <v>3758</v>
      </c>
      <c r="B1130">
        <v>211583</v>
      </c>
    </row>
    <row r="1131" spans="1:2" x14ac:dyDescent="0.25">
      <c r="A1131" t="s">
        <v>3759</v>
      </c>
      <c r="B1131">
        <v>211608</v>
      </c>
    </row>
    <row r="1132" spans="1:2" x14ac:dyDescent="0.25">
      <c r="A1132" t="s">
        <v>3760</v>
      </c>
      <c r="B1132">
        <v>181145</v>
      </c>
    </row>
    <row r="1133" spans="1:2" x14ac:dyDescent="0.25">
      <c r="A1133" t="s">
        <v>3761</v>
      </c>
      <c r="B1133">
        <v>492078</v>
      </c>
    </row>
    <row r="1134" spans="1:2" x14ac:dyDescent="0.25">
      <c r="A1134" t="s">
        <v>3762</v>
      </c>
      <c r="B1134">
        <v>492607</v>
      </c>
    </row>
    <row r="1135" spans="1:2" x14ac:dyDescent="0.25">
      <c r="A1135" t="s">
        <v>3763</v>
      </c>
      <c r="B1135">
        <v>437732</v>
      </c>
    </row>
    <row r="1136" spans="1:2" x14ac:dyDescent="0.25">
      <c r="A1136" t="s">
        <v>3764</v>
      </c>
      <c r="B1136">
        <v>144005</v>
      </c>
    </row>
    <row r="1137" spans="1:2" x14ac:dyDescent="0.25">
      <c r="A1137" t="s">
        <v>3765</v>
      </c>
      <c r="B1137">
        <v>144014</v>
      </c>
    </row>
    <row r="1138" spans="1:2" x14ac:dyDescent="0.25">
      <c r="A1138" t="s">
        <v>3766</v>
      </c>
      <c r="B1138">
        <v>180160</v>
      </c>
    </row>
    <row r="1139" spans="1:2" x14ac:dyDescent="0.25">
      <c r="A1139" t="s">
        <v>3767</v>
      </c>
      <c r="B1139">
        <v>133021</v>
      </c>
    </row>
    <row r="1140" spans="1:2" x14ac:dyDescent="0.25">
      <c r="A1140" t="s">
        <v>3768</v>
      </c>
      <c r="B1140">
        <v>240116</v>
      </c>
    </row>
    <row r="1141" spans="1:2" x14ac:dyDescent="0.25">
      <c r="A1141" t="s">
        <v>3769</v>
      </c>
      <c r="B1141">
        <v>375656</v>
      </c>
    </row>
    <row r="1142" spans="1:2" x14ac:dyDescent="0.25">
      <c r="A1142" t="s">
        <v>3770</v>
      </c>
      <c r="B1142">
        <v>201803</v>
      </c>
    </row>
    <row r="1143" spans="1:2" x14ac:dyDescent="0.25">
      <c r="A1143" t="s">
        <v>3771</v>
      </c>
      <c r="B1143">
        <v>198303</v>
      </c>
    </row>
    <row r="1144" spans="1:2" x14ac:dyDescent="0.25">
      <c r="A1144" t="s">
        <v>3772</v>
      </c>
      <c r="B1144">
        <v>175494</v>
      </c>
    </row>
    <row r="1145" spans="1:2" x14ac:dyDescent="0.25">
      <c r="A1145" t="s">
        <v>3773</v>
      </c>
      <c r="B1145">
        <v>494630</v>
      </c>
    </row>
    <row r="1146" spans="1:2" x14ac:dyDescent="0.25">
      <c r="A1146" t="s">
        <v>3774</v>
      </c>
      <c r="B1146">
        <v>189981</v>
      </c>
    </row>
    <row r="1147" spans="1:2" x14ac:dyDescent="0.25">
      <c r="A1147" t="s">
        <v>3775</v>
      </c>
      <c r="B1147">
        <v>219833</v>
      </c>
    </row>
    <row r="1148" spans="1:2" x14ac:dyDescent="0.25">
      <c r="A1148" t="s">
        <v>3776</v>
      </c>
      <c r="B1148">
        <v>488590</v>
      </c>
    </row>
    <row r="1149" spans="1:2" x14ac:dyDescent="0.25">
      <c r="A1149" t="s">
        <v>3777</v>
      </c>
      <c r="B1149">
        <v>150215</v>
      </c>
    </row>
    <row r="1150" spans="1:2" x14ac:dyDescent="0.25">
      <c r="A1150" t="s">
        <v>3778</v>
      </c>
      <c r="B1150">
        <v>491552</v>
      </c>
    </row>
    <row r="1151" spans="1:2" x14ac:dyDescent="0.25">
      <c r="A1151" t="s">
        <v>3779</v>
      </c>
      <c r="B1151">
        <v>189990</v>
      </c>
    </row>
    <row r="1152" spans="1:2" x14ac:dyDescent="0.25">
      <c r="A1152" t="s">
        <v>3780</v>
      </c>
      <c r="B1152">
        <v>475468</v>
      </c>
    </row>
    <row r="1153" spans="1:2" x14ac:dyDescent="0.25">
      <c r="A1153" t="s">
        <v>3781</v>
      </c>
      <c r="B1153">
        <v>231712</v>
      </c>
    </row>
    <row r="1154" spans="1:2" x14ac:dyDescent="0.25">
      <c r="A1154" t="s">
        <v>3782</v>
      </c>
      <c r="B1154">
        <v>112127</v>
      </c>
    </row>
    <row r="1155" spans="1:2" x14ac:dyDescent="0.25">
      <c r="A1155" t="s">
        <v>3783</v>
      </c>
      <c r="B1155">
        <v>201867</v>
      </c>
    </row>
    <row r="1156" spans="1:2" x14ac:dyDescent="0.25">
      <c r="A1156" t="s">
        <v>3784</v>
      </c>
      <c r="B1156">
        <v>490692</v>
      </c>
    </row>
    <row r="1157" spans="1:2" x14ac:dyDescent="0.25">
      <c r="A1157" t="s">
        <v>3785</v>
      </c>
      <c r="B1157">
        <v>201928</v>
      </c>
    </row>
    <row r="1158" spans="1:2" x14ac:dyDescent="0.25">
      <c r="A1158" t="s">
        <v>3786</v>
      </c>
      <c r="B1158">
        <v>461829</v>
      </c>
    </row>
    <row r="1159" spans="1:2" x14ac:dyDescent="0.25">
      <c r="A1159" t="s">
        <v>3787</v>
      </c>
      <c r="B1159">
        <v>190008</v>
      </c>
    </row>
    <row r="1160" spans="1:2" x14ac:dyDescent="0.25">
      <c r="A1160" t="s">
        <v>3788</v>
      </c>
      <c r="B1160">
        <v>223898</v>
      </c>
    </row>
    <row r="1161" spans="1:2" x14ac:dyDescent="0.25">
      <c r="A1161" t="s">
        <v>3789</v>
      </c>
      <c r="B1161">
        <v>217864</v>
      </c>
    </row>
    <row r="1162" spans="1:2" x14ac:dyDescent="0.25">
      <c r="A1162" t="s">
        <v>3790</v>
      </c>
      <c r="B1162">
        <v>211635</v>
      </c>
    </row>
    <row r="1163" spans="1:2" x14ac:dyDescent="0.25">
      <c r="A1163" t="s">
        <v>3791</v>
      </c>
      <c r="B1163">
        <v>112172</v>
      </c>
    </row>
    <row r="1164" spans="1:2" x14ac:dyDescent="0.25">
      <c r="A1164" t="s">
        <v>3792</v>
      </c>
      <c r="B1164">
        <v>112181</v>
      </c>
    </row>
    <row r="1165" spans="1:2" x14ac:dyDescent="0.25">
      <c r="A1165" t="s">
        <v>3793</v>
      </c>
      <c r="B1165">
        <v>112190</v>
      </c>
    </row>
    <row r="1166" spans="1:2" x14ac:dyDescent="0.25">
      <c r="A1166" t="s">
        <v>3794</v>
      </c>
      <c r="B1166">
        <v>417327</v>
      </c>
    </row>
    <row r="1167" spans="1:2" x14ac:dyDescent="0.25">
      <c r="A1167" t="s">
        <v>3795</v>
      </c>
      <c r="B1167">
        <v>244233</v>
      </c>
    </row>
    <row r="1168" spans="1:2" x14ac:dyDescent="0.25">
      <c r="A1168" t="s">
        <v>3796</v>
      </c>
      <c r="B1168">
        <v>406547</v>
      </c>
    </row>
    <row r="1169" spans="1:2" x14ac:dyDescent="0.25">
      <c r="A1169" t="s">
        <v>3797</v>
      </c>
      <c r="B1169">
        <v>475477</v>
      </c>
    </row>
    <row r="1170" spans="1:2" x14ac:dyDescent="0.25">
      <c r="A1170" t="s">
        <v>3798</v>
      </c>
      <c r="B1170">
        <v>434539</v>
      </c>
    </row>
    <row r="1171" spans="1:2" x14ac:dyDescent="0.25">
      <c r="A1171" t="s">
        <v>3799</v>
      </c>
      <c r="B1171">
        <v>144500</v>
      </c>
    </row>
    <row r="1172" spans="1:2" x14ac:dyDescent="0.25">
      <c r="A1172" t="s">
        <v>3800</v>
      </c>
      <c r="B1172">
        <v>144209</v>
      </c>
    </row>
    <row r="1173" spans="1:2" x14ac:dyDescent="0.25">
      <c r="A1173" t="s">
        <v>3801</v>
      </c>
      <c r="B1173">
        <v>144184</v>
      </c>
    </row>
    <row r="1174" spans="1:2" x14ac:dyDescent="0.25">
      <c r="A1174" t="s">
        <v>3802</v>
      </c>
      <c r="B1174">
        <v>144157</v>
      </c>
    </row>
    <row r="1175" spans="1:2" x14ac:dyDescent="0.25">
      <c r="A1175" t="s">
        <v>3803</v>
      </c>
      <c r="B1175">
        <v>144166</v>
      </c>
    </row>
    <row r="1176" spans="1:2" x14ac:dyDescent="0.25">
      <c r="A1176" t="s">
        <v>3804</v>
      </c>
      <c r="B1176">
        <v>144175</v>
      </c>
    </row>
    <row r="1177" spans="1:2" x14ac:dyDescent="0.25">
      <c r="A1177" t="s">
        <v>3805</v>
      </c>
      <c r="B1177">
        <v>144193</v>
      </c>
    </row>
    <row r="1178" spans="1:2" x14ac:dyDescent="0.25">
      <c r="A1178" t="s">
        <v>3806</v>
      </c>
      <c r="B1178">
        <v>144218</v>
      </c>
    </row>
    <row r="1179" spans="1:2" x14ac:dyDescent="0.25">
      <c r="A1179" t="s">
        <v>3807</v>
      </c>
      <c r="B1179">
        <v>481517</v>
      </c>
    </row>
    <row r="1180" spans="1:2" x14ac:dyDescent="0.25">
      <c r="A1180" t="s">
        <v>3808</v>
      </c>
      <c r="B1180">
        <v>234915</v>
      </c>
    </row>
    <row r="1181" spans="1:2" x14ac:dyDescent="0.25">
      <c r="A1181" t="s">
        <v>3809</v>
      </c>
      <c r="B1181">
        <v>457697</v>
      </c>
    </row>
    <row r="1182" spans="1:2" x14ac:dyDescent="0.25">
      <c r="A1182" t="s">
        <v>3810</v>
      </c>
      <c r="B1182">
        <v>208406</v>
      </c>
    </row>
    <row r="1183" spans="1:2" x14ac:dyDescent="0.25">
      <c r="A1183" t="s">
        <v>3811</v>
      </c>
      <c r="B1183">
        <v>217873</v>
      </c>
    </row>
    <row r="1184" spans="1:2" x14ac:dyDescent="0.25">
      <c r="A1184" t="s">
        <v>3812</v>
      </c>
      <c r="B1184">
        <v>112251</v>
      </c>
    </row>
    <row r="1185" spans="1:2" x14ac:dyDescent="0.25">
      <c r="A1185" t="s">
        <v>3813</v>
      </c>
      <c r="B1185">
        <v>488387</v>
      </c>
    </row>
    <row r="1186" spans="1:2" x14ac:dyDescent="0.25">
      <c r="A1186" t="s">
        <v>3814</v>
      </c>
      <c r="B1186">
        <v>112260</v>
      </c>
    </row>
    <row r="1187" spans="1:2" x14ac:dyDescent="0.25">
      <c r="A1187" t="s">
        <v>3815</v>
      </c>
      <c r="B1187">
        <v>124283</v>
      </c>
    </row>
    <row r="1188" spans="1:2" x14ac:dyDescent="0.25">
      <c r="A1188" t="s">
        <v>3816</v>
      </c>
      <c r="B1188">
        <v>223922</v>
      </c>
    </row>
    <row r="1189" spans="1:2" x14ac:dyDescent="0.25">
      <c r="A1189" t="s">
        <v>3817</v>
      </c>
      <c r="B1189">
        <v>211644</v>
      </c>
    </row>
    <row r="1190" spans="1:2" x14ac:dyDescent="0.25">
      <c r="A1190" t="s">
        <v>3818</v>
      </c>
      <c r="B1190">
        <v>138947</v>
      </c>
    </row>
    <row r="1191" spans="1:2" x14ac:dyDescent="0.25">
      <c r="A1191" t="s">
        <v>3819</v>
      </c>
      <c r="B1191">
        <v>234933</v>
      </c>
    </row>
    <row r="1192" spans="1:2" x14ac:dyDescent="0.25">
      <c r="A1192" t="s">
        <v>3820</v>
      </c>
      <c r="B1192">
        <v>201973</v>
      </c>
    </row>
    <row r="1193" spans="1:2" x14ac:dyDescent="0.25">
      <c r="A1193" t="s">
        <v>3821</v>
      </c>
      <c r="B1193">
        <v>165334</v>
      </c>
    </row>
    <row r="1194" spans="1:2" x14ac:dyDescent="0.25">
      <c r="A1194" t="s">
        <v>3822</v>
      </c>
      <c r="B1194">
        <v>153126</v>
      </c>
    </row>
    <row r="1195" spans="1:2" x14ac:dyDescent="0.25">
      <c r="A1195" t="s">
        <v>3823</v>
      </c>
      <c r="B1195">
        <v>211024</v>
      </c>
    </row>
    <row r="1196" spans="1:2" x14ac:dyDescent="0.25">
      <c r="A1196" t="s">
        <v>3824</v>
      </c>
      <c r="B1196">
        <v>237321</v>
      </c>
    </row>
    <row r="1197" spans="1:2" x14ac:dyDescent="0.25">
      <c r="A1197" t="s">
        <v>3825</v>
      </c>
      <c r="B1197">
        <v>180832</v>
      </c>
    </row>
    <row r="1198" spans="1:2" x14ac:dyDescent="0.25">
      <c r="A1198" t="s">
        <v>3826</v>
      </c>
      <c r="B1198">
        <v>190044</v>
      </c>
    </row>
    <row r="1199" spans="1:2" x14ac:dyDescent="0.25">
      <c r="A1199" t="s">
        <v>3827</v>
      </c>
      <c r="B1199">
        <v>450401</v>
      </c>
    </row>
    <row r="1200" spans="1:2" x14ac:dyDescent="0.25">
      <c r="A1200" t="s">
        <v>3828</v>
      </c>
      <c r="B1200">
        <v>208415</v>
      </c>
    </row>
    <row r="1201" spans="1:2" x14ac:dyDescent="0.25">
      <c r="A1201" t="s">
        <v>3829</v>
      </c>
      <c r="B1201">
        <v>139311</v>
      </c>
    </row>
    <row r="1202" spans="1:2" x14ac:dyDescent="0.25">
      <c r="A1202" t="s">
        <v>3830</v>
      </c>
      <c r="B1202">
        <v>156417</v>
      </c>
    </row>
    <row r="1203" spans="1:2" x14ac:dyDescent="0.25">
      <c r="A1203" t="s">
        <v>3831</v>
      </c>
      <c r="B1203">
        <v>430908</v>
      </c>
    </row>
    <row r="1204" spans="1:2" x14ac:dyDescent="0.25">
      <c r="A1204" t="s">
        <v>3832</v>
      </c>
      <c r="B1204">
        <v>169327</v>
      </c>
    </row>
    <row r="1205" spans="1:2" x14ac:dyDescent="0.25">
      <c r="A1205" t="s">
        <v>3833</v>
      </c>
      <c r="B1205">
        <v>217882</v>
      </c>
    </row>
    <row r="1206" spans="1:2" x14ac:dyDescent="0.25">
      <c r="A1206" t="s">
        <v>3834</v>
      </c>
      <c r="B1206">
        <v>411754</v>
      </c>
    </row>
    <row r="1207" spans="1:2" x14ac:dyDescent="0.25">
      <c r="A1207" t="s">
        <v>3835</v>
      </c>
      <c r="B1207">
        <v>198321</v>
      </c>
    </row>
    <row r="1208" spans="1:2" x14ac:dyDescent="0.25">
      <c r="A1208" t="s">
        <v>3836</v>
      </c>
      <c r="B1208">
        <v>202046</v>
      </c>
    </row>
    <row r="1209" spans="1:2" x14ac:dyDescent="0.25">
      <c r="A1209" t="s">
        <v>3837</v>
      </c>
      <c r="B1209">
        <v>202073</v>
      </c>
    </row>
    <row r="1210" spans="1:2" x14ac:dyDescent="0.25">
      <c r="A1210" t="s">
        <v>3838</v>
      </c>
      <c r="B1210">
        <v>219879</v>
      </c>
    </row>
    <row r="1211" spans="1:2" x14ac:dyDescent="0.25">
      <c r="A1211" t="s">
        <v>3839</v>
      </c>
      <c r="B1211">
        <v>202134</v>
      </c>
    </row>
    <row r="1212" spans="1:2" x14ac:dyDescent="0.25">
      <c r="A1212" t="s">
        <v>3840</v>
      </c>
      <c r="B1212">
        <v>177038</v>
      </c>
    </row>
    <row r="1213" spans="1:2" x14ac:dyDescent="0.25">
      <c r="A1213" t="s">
        <v>3841</v>
      </c>
      <c r="B1213">
        <v>217891</v>
      </c>
    </row>
    <row r="1214" spans="1:2" x14ac:dyDescent="0.25">
      <c r="A1214" t="s">
        <v>3842</v>
      </c>
      <c r="B1214">
        <v>190053</v>
      </c>
    </row>
    <row r="1215" spans="1:2" x14ac:dyDescent="0.25">
      <c r="A1215" t="s">
        <v>3843</v>
      </c>
      <c r="B1215">
        <v>417868</v>
      </c>
    </row>
    <row r="1216" spans="1:2" x14ac:dyDescent="0.25">
      <c r="A1216" t="s">
        <v>3844</v>
      </c>
      <c r="B1216">
        <v>260336</v>
      </c>
    </row>
    <row r="1217" spans="1:2" x14ac:dyDescent="0.25">
      <c r="A1217" t="s">
        <v>3845</v>
      </c>
      <c r="B1217">
        <v>154907</v>
      </c>
    </row>
    <row r="1218" spans="1:2" x14ac:dyDescent="0.25">
      <c r="A1218" t="s">
        <v>3846</v>
      </c>
      <c r="B1218">
        <v>234951</v>
      </c>
    </row>
    <row r="1219" spans="1:2" x14ac:dyDescent="0.25">
      <c r="A1219" t="s">
        <v>3847</v>
      </c>
      <c r="B1219">
        <v>112367</v>
      </c>
    </row>
    <row r="1220" spans="1:2" x14ac:dyDescent="0.25">
      <c r="A1220" t="s">
        <v>3848</v>
      </c>
      <c r="B1220">
        <v>187639</v>
      </c>
    </row>
    <row r="1221" spans="1:2" x14ac:dyDescent="0.25">
      <c r="A1221" t="s">
        <v>3848</v>
      </c>
      <c r="B1221">
        <v>489201</v>
      </c>
    </row>
    <row r="1222" spans="1:2" x14ac:dyDescent="0.25">
      <c r="A1222" t="s">
        <v>3849</v>
      </c>
      <c r="B1222">
        <v>366155</v>
      </c>
    </row>
    <row r="1223" spans="1:2" x14ac:dyDescent="0.25">
      <c r="A1223" t="s">
        <v>3850</v>
      </c>
      <c r="B1223">
        <v>158538</v>
      </c>
    </row>
    <row r="1224" spans="1:2" x14ac:dyDescent="0.25">
      <c r="A1224" t="s">
        <v>3851</v>
      </c>
      <c r="B1224">
        <v>248527</v>
      </c>
    </row>
    <row r="1225" spans="1:2" x14ac:dyDescent="0.25">
      <c r="A1225" t="s">
        <v>3852</v>
      </c>
      <c r="B1225">
        <v>449393</v>
      </c>
    </row>
    <row r="1226" spans="1:2" x14ac:dyDescent="0.25">
      <c r="A1226" t="s">
        <v>3853</v>
      </c>
      <c r="B1226">
        <v>485412</v>
      </c>
    </row>
    <row r="1227" spans="1:2" x14ac:dyDescent="0.25">
      <c r="A1227" t="s">
        <v>3854</v>
      </c>
      <c r="B1227">
        <v>175519</v>
      </c>
    </row>
    <row r="1228" spans="1:2" x14ac:dyDescent="0.25">
      <c r="A1228" t="s">
        <v>3855</v>
      </c>
      <c r="B1228">
        <v>112376</v>
      </c>
    </row>
    <row r="1229" spans="1:2" x14ac:dyDescent="0.25">
      <c r="A1229" t="s">
        <v>3856</v>
      </c>
      <c r="B1229">
        <v>101161</v>
      </c>
    </row>
    <row r="1230" spans="1:2" x14ac:dyDescent="0.25">
      <c r="A1230" t="s">
        <v>3857</v>
      </c>
      <c r="B1230">
        <v>223320</v>
      </c>
    </row>
    <row r="1231" spans="1:2" x14ac:dyDescent="0.25">
      <c r="A1231" t="s">
        <v>3858</v>
      </c>
      <c r="B1231">
        <v>198330</v>
      </c>
    </row>
    <row r="1232" spans="1:2" x14ac:dyDescent="0.25">
      <c r="A1232" t="s">
        <v>3859</v>
      </c>
      <c r="B1232">
        <v>218724</v>
      </c>
    </row>
    <row r="1233" spans="1:2" x14ac:dyDescent="0.25">
      <c r="A1233" t="s">
        <v>3860</v>
      </c>
      <c r="B1233">
        <v>485458</v>
      </c>
    </row>
    <row r="1234" spans="1:2" x14ac:dyDescent="0.25">
      <c r="A1234" t="s">
        <v>3861</v>
      </c>
      <c r="B1234">
        <v>450988</v>
      </c>
    </row>
    <row r="1235" spans="1:2" x14ac:dyDescent="0.25">
      <c r="A1235" t="s">
        <v>3862</v>
      </c>
      <c r="B1235">
        <v>112385</v>
      </c>
    </row>
    <row r="1236" spans="1:2" x14ac:dyDescent="0.25">
      <c r="A1236" t="s">
        <v>3863</v>
      </c>
      <c r="B1236">
        <v>112455</v>
      </c>
    </row>
    <row r="1237" spans="1:2" x14ac:dyDescent="0.25">
      <c r="A1237" t="s">
        <v>3864</v>
      </c>
      <c r="B1237">
        <v>104425</v>
      </c>
    </row>
    <row r="1238" spans="1:2" x14ac:dyDescent="0.25">
      <c r="A1238" t="s">
        <v>3865</v>
      </c>
      <c r="B1238">
        <v>190071</v>
      </c>
    </row>
    <row r="1239" spans="1:2" x14ac:dyDescent="0.25">
      <c r="A1239" t="s">
        <v>3866</v>
      </c>
      <c r="B1239">
        <v>404426</v>
      </c>
    </row>
    <row r="1240" spans="1:2" x14ac:dyDescent="0.25">
      <c r="A1240" t="s">
        <v>3867</v>
      </c>
      <c r="B1240">
        <v>153144</v>
      </c>
    </row>
    <row r="1241" spans="1:2" x14ac:dyDescent="0.25">
      <c r="A1241" t="s">
        <v>3868</v>
      </c>
      <c r="B1241">
        <v>154925</v>
      </c>
    </row>
    <row r="1242" spans="1:2" x14ac:dyDescent="0.25">
      <c r="A1242" t="s">
        <v>3869</v>
      </c>
      <c r="B1242">
        <v>217907</v>
      </c>
    </row>
    <row r="1243" spans="1:2" x14ac:dyDescent="0.25">
      <c r="A1243" t="s">
        <v>3870</v>
      </c>
      <c r="B1243">
        <v>161086</v>
      </c>
    </row>
    <row r="1244" spans="1:2" x14ac:dyDescent="0.25">
      <c r="A1244" t="s">
        <v>3871</v>
      </c>
      <c r="B1244">
        <v>154934</v>
      </c>
    </row>
    <row r="1245" spans="1:2" x14ac:dyDescent="0.25">
      <c r="A1245" t="s">
        <v>3872</v>
      </c>
      <c r="B1245">
        <v>182634</v>
      </c>
    </row>
    <row r="1246" spans="1:2" x14ac:dyDescent="0.25">
      <c r="A1246" t="s">
        <v>8824</v>
      </c>
      <c r="B1246">
        <v>430935</v>
      </c>
    </row>
    <row r="1247" spans="1:2" x14ac:dyDescent="0.25">
      <c r="A1247" t="s">
        <v>3874</v>
      </c>
      <c r="B1247">
        <v>443100</v>
      </c>
    </row>
    <row r="1248" spans="1:2" x14ac:dyDescent="0.25">
      <c r="A1248" t="s">
        <v>3875</v>
      </c>
      <c r="B1248">
        <v>376242</v>
      </c>
    </row>
    <row r="1249" spans="1:2" x14ac:dyDescent="0.25">
      <c r="A1249" t="s">
        <v>3876</v>
      </c>
      <c r="B1249">
        <v>445498</v>
      </c>
    </row>
    <row r="1250" spans="1:2" x14ac:dyDescent="0.25">
      <c r="A1250" t="s">
        <v>3877</v>
      </c>
      <c r="B1250">
        <v>241720</v>
      </c>
    </row>
    <row r="1251" spans="1:2" x14ac:dyDescent="0.25">
      <c r="A1251" t="s">
        <v>3878</v>
      </c>
      <c r="B1251">
        <v>190080</v>
      </c>
    </row>
    <row r="1252" spans="1:2" x14ac:dyDescent="0.25">
      <c r="A1252" t="s">
        <v>3879</v>
      </c>
      <c r="B1252">
        <v>190099</v>
      </c>
    </row>
    <row r="1253" spans="1:2" x14ac:dyDescent="0.25">
      <c r="A1253" t="s">
        <v>3880</v>
      </c>
      <c r="B1253">
        <v>230144</v>
      </c>
    </row>
    <row r="1254" spans="1:2" x14ac:dyDescent="0.25">
      <c r="A1254" t="s">
        <v>3881</v>
      </c>
      <c r="B1254">
        <v>169442</v>
      </c>
    </row>
    <row r="1255" spans="1:2" x14ac:dyDescent="0.25">
      <c r="A1255" t="s">
        <v>3882</v>
      </c>
      <c r="B1255">
        <v>108667</v>
      </c>
    </row>
    <row r="1256" spans="1:2" x14ac:dyDescent="0.25">
      <c r="A1256" t="s">
        <v>3883</v>
      </c>
      <c r="B1256">
        <v>388520</v>
      </c>
    </row>
    <row r="1257" spans="1:2" x14ac:dyDescent="0.25">
      <c r="A1257" t="s">
        <v>3884</v>
      </c>
      <c r="B1257">
        <v>132851</v>
      </c>
    </row>
    <row r="1258" spans="1:2" x14ac:dyDescent="0.25">
      <c r="A1258" t="s">
        <v>3885</v>
      </c>
      <c r="B1258">
        <v>217819</v>
      </c>
    </row>
    <row r="1259" spans="1:2" x14ac:dyDescent="0.25">
      <c r="A1259" t="s">
        <v>3886</v>
      </c>
      <c r="B1259">
        <v>139250</v>
      </c>
    </row>
    <row r="1260" spans="1:2" x14ac:dyDescent="0.25">
      <c r="A1260" t="s">
        <v>3887</v>
      </c>
      <c r="B1260">
        <v>210340</v>
      </c>
    </row>
    <row r="1261" spans="1:2" x14ac:dyDescent="0.25">
      <c r="A1261" t="s">
        <v>3888</v>
      </c>
      <c r="B1261">
        <v>150251</v>
      </c>
    </row>
    <row r="1262" spans="1:2" x14ac:dyDescent="0.25">
      <c r="A1262" t="s">
        <v>3889</v>
      </c>
      <c r="B1262">
        <v>144865</v>
      </c>
    </row>
    <row r="1263" spans="1:2" x14ac:dyDescent="0.25">
      <c r="A1263" t="s">
        <v>3890</v>
      </c>
      <c r="B1263">
        <v>142179</v>
      </c>
    </row>
    <row r="1264" spans="1:2" x14ac:dyDescent="0.25">
      <c r="A1264" t="s">
        <v>3891</v>
      </c>
      <c r="B1264">
        <v>208433</v>
      </c>
    </row>
    <row r="1265" spans="1:2" x14ac:dyDescent="0.25">
      <c r="A1265" t="s">
        <v>3892</v>
      </c>
      <c r="B1265">
        <v>180957</v>
      </c>
    </row>
    <row r="1266" spans="1:2" x14ac:dyDescent="0.25">
      <c r="A1266" t="s">
        <v>3893</v>
      </c>
      <c r="B1266">
        <v>456287</v>
      </c>
    </row>
    <row r="1267" spans="1:2" x14ac:dyDescent="0.25">
      <c r="A1267" t="s">
        <v>3894</v>
      </c>
      <c r="B1267">
        <v>379746</v>
      </c>
    </row>
    <row r="1268" spans="1:2" x14ac:dyDescent="0.25">
      <c r="A1268" t="s">
        <v>3895</v>
      </c>
      <c r="B1268">
        <v>146472</v>
      </c>
    </row>
    <row r="1269" spans="1:2" x14ac:dyDescent="0.25">
      <c r="A1269" t="s">
        <v>3896</v>
      </c>
      <c r="B1269">
        <v>118347</v>
      </c>
    </row>
    <row r="1270" spans="1:2" x14ac:dyDescent="0.25">
      <c r="A1270" t="s">
        <v>3897</v>
      </c>
      <c r="B1270">
        <v>460808</v>
      </c>
    </row>
    <row r="1271" spans="1:2" x14ac:dyDescent="0.25">
      <c r="A1271" t="s">
        <v>3898</v>
      </c>
      <c r="B1271">
        <v>413617</v>
      </c>
    </row>
    <row r="1272" spans="1:2" x14ac:dyDescent="0.25">
      <c r="A1272" t="s">
        <v>3899</v>
      </c>
      <c r="B1272">
        <v>243638</v>
      </c>
    </row>
    <row r="1273" spans="1:2" x14ac:dyDescent="0.25">
      <c r="A1273" t="s">
        <v>3900</v>
      </c>
      <c r="B1273">
        <v>193399</v>
      </c>
    </row>
    <row r="1274" spans="1:2" x14ac:dyDescent="0.25">
      <c r="A1274" t="s">
        <v>3901</v>
      </c>
      <c r="B1274">
        <v>167394</v>
      </c>
    </row>
    <row r="1275" spans="1:2" x14ac:dyDescent="0.25">
      <c r="A1275" t="s">
        <v>3902</v>
      </c>
      <c r="B1275">
        <v>174747</v>
      </c>
    </row>
    <row r="1276" spans="1:2" x14ac:dyDescent="0.25">
      <c r="A1276" t="s">
        <v>3903</v>
      </c>
      <c r="B1276">
        <v>181604</v>
      </c>
    </row>
    <row r="1277" spans="1:2" x14ac:dyDescent="0.25">
      <c r="A1277" t="s">
        <v>3904</v>
      </c>
      <c r="B1277">
        <v>122791</v>
      </c>
    </row>
    <row r="1278" spans="1:2" x14ac:dyDescent="0.25">
      <c r="A1278" t="s">
        <v>3905</v>
      </c>
      <c r="B1278">
        <v>142559</v>
      </c>
    </row>
    <row r="1279" spans="1:2" x14ac:dyDescent="0.25">
      <c r="A1279" t="s">
        <v>3906</v>
      </c>
      <c r="B1279">
        <v>162122</v>
      </c>
    </row>
    <row r="1280" spans="1:2" x14ac:dyDescent="0.25">
      <c r="A1280" t="s">
        <v>3907</v>
      </c>
      <c r="B1280">
        <v>182005</v>
      </c>
    </row>
    <row r="1281" spans="1:2" x14ac:dyDescent="0.25">
      <c r="A1281" t="s">
        <v>3908</v>
      </c>
      <c r="B1281">
        <v>190558</v>
      </c>
    </row>
    <row r="1282" spans="1:2" x14ac:dyDescent="0.25">
      <c r="A1282" t="s">
        <v>3909</v>
      </c>
      <c r="B1282">
        <v>197814</v>
      </c>
    </row>
    <row r="1283" spans="1:2" x14ac:dyDescent="0.25">
      <c r="A1283" t="s">
        <v>3910</v>
      </c>
      <c r="B1283">
        <v>160959</v>
      </c>
    </row>
    <row r="1284" spans="1:2" x14ac:dyDescent="0.25">
      <c r="A1284" t="s">
        <v>3911</v>
      </c>
      <c r="B1284">
        <v>111461</v>
      </c>
    </row>
    <row r="1285" spans="1:2" x14ac:dyDescent="0.25">
      <c r="A1285" t="s">
        <v>3912</v>
      </c>
      <c r="B1285">
        <v>113573</v>
      </c>
    </row>
    <row r="1286" spans="1:2" x14ac:dyDescent="0.25">
      <c r="A1286" t="s">
        <v>3913</v>
      </c>
      <c r="B1286">
        <v>166124</v>
      </c>
    </row>
    <row r="1287" spans="1:2" x14ac:dyDescent="0.25">
      <c r="A1287" t="s">
        <v>3914</v>
      </c>
      <c r="B1287">
        <v>226408</v>
      </c>
    </row>
    <row r="1288" spans="1:2" x14ac:dyDescent="0.25">
      <c r="A1288" t="s">
        <v>3915</v>
      </c>
      <c r="B1288">
        <v>376695</v>
      </c>
    </row>
    <row r="1289" spans="1:2" x14ac:dyDescent="0.25">
      <c r="A1289" t="s">
        <v>3916</v>
      </c>
      <c r="B1289">
        <v>480967</v>
      </c>
    </row>
    <row r="1290" spans="1:2" x14ac:dyDescent="0.25">
      <c r="A1290" t="s">
        <v>3917</v>
      </c>
      <c r="B1290">
        <v>178697</v>
      </c>
    </row>
    <row r="1291" spans="1:2" x14ac:dyDescent="0.25">
      <c r="A1291" t="s">
        <v>3918</v>
      </c>
      <c r="B1291">
        <v>121707</v>
      </c>
    </row>
    <row r="1292" spans="1:2" x14ac:dyDescent="0.25">
      <c r="A1292" t="s">
        <v>3919</v>
      </c>
      <c r="B1292">
        <v>123217</v>
      </c>
    </row>
    <row r="1293" spans="1:2" x14ac:dyDescent="0.25">
      <c r="A1293" t="s">
        <v>3920</v>
      </c>
      <c r="B1293">
        <v>123484</v>
      </c>
    </row>
    <row r="1294" spans="1:2" x14ac:dyDescent="0.25">
      <c r="A1294" t="s">
        <v>3921</v>
      </c>
      <c r="B1294">
        <v>455114</v>
      </c>
    </row>
    <row r="1295" spans="1:2" x14ac:dyDescent="0.25">
      <c r="A1295" t="s">
        <v>3922</v>
      </c>
      <c r="B1295">
        <v>199078</v>
      </c>
    </row>
    <row r="1296" spans="1:2" x14ac:dyDescent="0.25">
      <c r="A1296" t="s">
        <v>3923</v>
      </c>
      <c r="B1296">
        <v>493822</v>
      </c>
    </row>
    <row r="1297" spans="1:2" x14ac:dyDescent="0.25">
      <c r="A1297" t="s">
        <v>3924</v>
      </c>
      <c r="B1297">
        <v>247834</v>
      </c>
    </row>
    <row r="1298" spans="1:2" x14ac:dyDescent="0.25">
      <c r="A1298" t="s">
        <v>3925</v>
      </c>
      <c r="B1298">
        <v>461953</v>
      </c>
    </row>
    <row r="1299" spans="1:2" x14ac:dyDescent="0.25">
      <c r="A1299" t="s">
        <v>3926</v>
      </c>
      <c r="B1299">
        <v>126669</v>
      </c>
    </row>
    <row r="1300" spans="1:2" x14ac:dyDescent="0.25">
      <c r="A1300" t="s">
        <v>3927</v>
      </c>
      <c r="B1300">
        <v>126678</v>
      </c>
    </row>
    <row r="1301" spans="1:2" x14ac:dyDescent="0.25">
      <c r="A1301" t="s">
        <v>3928</v>
      </c>
      <c r="B1301">
        <v>443632</v>
      </c>
    </row>
    <row r="1302" spans="1:2" x14ac:dyDescent="0.25">
      <c r="A1302" t="s">
        <v>3929</v>
      </c>
      <c r="B1302">
        <v>127556</v>
      </c>
    </row>
    <row r="1303" spans="1:2" x14ac:dyDescent="0.25">
      <c r="A1303" t="s">
        <v>3930</v>
      </c>
      <c r="B1303">
        <v>126711</v>
      </c>
    </row>
    <row r="1304" spans="1:2" x14ac:dyDescent="0.25">
      <c r="A1304" t="s">
        <v>3931</v>
      </c>
      <c r="B1304">
        <v>126748</v>
      </c>
    </row>
    <row r="1305" spans="1:2" x14ac:dyDescent="0.25">
      <c r="A1305" t="s">
        <v>3932</v>
      </c>
      <c r="B1305">
        <v>381732</v>
      </c>
    </row>
    <row r="1306" spans="1:2" x14ac:dyDescent="0.25">
      <c r="A1306" t="s">
        <v>3933</v>
      </c>
      <c r="B1306">
        <v>126775</v>
      </c>
    </row>
    <row r="1307" spans="1:2" x14ac:dyDescent="0.25">
      <c r="A1307" t="s">
        <v>3934</v>
      </c>
      <c r="B1307">
        <v>126784</v>
      </c>
    </row>
    <row r="1308" spans="1:2" x14ac:dyDescent="0.25">
      <c r="A1308" t="s">
        <v>3935</v>
      </c>
      <c r="B1308">
        <v>381352</v>
      </c>
    </row>
    <row r="1309" spans="1:2" x14ac:dyDescent="0.25">
      <c r="A1309" t="s">
        <v>3936</v>
      </c>
      <c r="B1309">
        <v>128106</v>
      </c>
    </row>
    <row r="1310" spans="1:2" x14ac:dyDescent="0.25">
      <c r="A1310" t="s">
        <v>3937</v>
      </c>
      <c r="B1310">
        <v>126818</v>
      </c>
    </row>
    <row r="1311" spans="1:2" x14ac:dyDescent="0.25">
      <c r="A1311" t="s">
        <v>3938</v>
      </c>
      <c r="B1311">
        <v>476975</v>
      </c>
    </row>
    <row r="1312" spans="1:2" x14ac:dyDescent="0.25">
      <c r="A1312" t="s">
        <v>3939</v>
      </c>
      <c r="B1312">
        <v>446978</v>
      </c>
    </row>
    <row r="1313" spans="1:2" x14ac:dyDescent="0.25">
      <c r="A1313" t="s">
        <v>3940</v>
      </c>
      <c r="B1313">
        <v>126827</v>
      </c>
    </row>
    <row r="1314" spans="1:2" x14ac:dyDescent="0.25">
      <c r="A1314" t="s">
        <v>3941</v>
      </c>
      <c r="B1314">
        <v>234979</v>
      </c>
    </row>
    <row r="1315" spans="1:2" x14ac:dyDescent="0.25">
      <c r="A1315" t="s">
        <v>3942</v>
      </c>
      <c r="B1315">
        <v>241304</v>
      </c>
    </row>
    <row r="1316" spans="1:2" x14ac:dyDescent="0.25">
      <c r="A1316" t="s">
        <v>3943</v>
      </c>
      <c r="B1316">
        <v>404806</v>
      </c>
    </row>
    <row r="1317" spans="1:2" x14ac:dyDescent="0.25">
      <c r="A1317" t="s">
        <v>3944</v>
      </c>
      <c r="B1317">
        <v>112561</v>
      </c>
    </row>
    <row r="1318" spans="1:2" x14ac:dyDescent="0.25">
      <c r="A1318" t="s">
        <v>3944</v>
      </c>
      <c r="B1318">
        <v>177065</v>
      </c>
    </row>
    <row r="1319" spans="1:2" x14ac:dyDescent="0.25">
      <c r="A1319" t="s">
        <v>3944</v>
      </c>
      <c r="B1319">
        <v>217934</v>
      </c>
    </row>
    <row r="1320" spans="1:2" x14ac:dyDescent="0.25">
      <c r="A1320" t="s">
        <v>3944</v>
      </c>
      <c r="B1320">
        <v>455983</v>
      </c>
    </row>
    <row r="1321" spans="1:2" x14ac:dyDescent="0.25">
      <c r="A1321" t="s">
        <v>3944</v>
      </c>
      <c r="B1321">
        <v>479248</v>
      </c>
    </row>
    <row r="1322" spans="1:2" x14ac:dyDescent="0.25">
      <c r="A1322" t="s">
        <v>3945</v>
      </c>
      <c r="B1322">
        <v>144281</v>
      </c>
    </row>
    <row r="1323" spans="1:2" x14ac:dyDescent="0.25">
      <c r="A1323" t="s">
        <v>3946</v>
      </c>
      <c r="B1323">
        <v>112570</v>
      </c>
    </row>
    <row r="1324" spans="1:2" x14ac:dyDescent="0.25">
      <c r="A1324" t="s">
        <v>3947</v>
      </c>
      <c r="B1324">
        <v>238573</v>
      </c>
    </row>
    <row r="1325" spans="1:2" x14ac:dyDescent="0.25">
      <c r="A1325" t="s">
        <v>3948</v>
      </c>
      <c r="B1325">
        <v>420556</v>
      </c>
    </row>
    <row r="1326" spans="1:2" x14ac:dyDescent="0.25">
      <c r="A1326" t="s">
        <v>3949</v>
      </c>
      <c r="B1326">
        <v>480693</v>
      </c>
    </row>
    <row r="1327" spans="1:2" x14ac:dyDescent="0.25">
      <c r="A1327" t="s">
        <v>3950</v>
      </c>
      <c r="B1327">
        <v>217925</v>
      </c>
    </row>
    <row r="1328" spans="1:2" x14ac:dyDescent="0.25">
      <c r="A1328" t="s">
        <v>3951</v>
      </c>
      <c r="B1328">
        <v>450933</v>
      </c>
    </row>
    <row r="1329" spans="1:2" x14ac:dyDescent="0.25">
      <c r="A1329" t="s">
        <v>3952</v>
      </c>
      <c r="B1329">
        <v>219888</v>
      </c>
    </row>
    <row r="1330" spans="1:2" x14ac:dyDescent="0.25">
      <c r="A1330" t="s">
        <v>3953</v>
      </c>
      <c r="B1330">
        <v>139348</v>
      </c>
    </row>
    <row r="1331" spans="1:2" x14ac:dyDescent="0.25">
      <c r="A1331" t="s">
        <v>3954</v>
      </c>
      <c r="B1331">
        <v>190150</v>
      </c>
    </row>
    <row r="1332" spans="1:2" x14ac:dyDescent="0.25">
      <c r="A1332" t="s">
        <v>3955</v>
      </c>
      <c r="B1332">
        <v>190169</v>
      </c>
    </row>
    <row r="1333" spans="1:2" x14ac:dyDescent="0.25">
      <c r="A1333" t="s">
        <v>3956</v>
      </c>
      <c r="B1333">
        <v>202152</v>
      </c>
    </row>
    <row r="1334" spans="1:2" x14ac:dyDescent="0.25">
      <c r="A1334" t="s">
        <v>3957</v>
      </c>
      <c r="B1334">
        <v>202170</v>
      </c>
    </row>
    <row r="1335" spans="1:2" x14ac:dyDescent="0.25">
      <c r="A1335" t="s">
        <v>3958</v>
      </c>
      <c r="B1335">
        <v>202222</v>
      </c>
    </row>
    <row r="1336" spans="1:2" x14ac:dyDescent="0.25">
      <c r="A1336" t="s">
        <v>3959</v>
      </c>
      <c r="B1336">
        <v>139366</v>
      </c>
    </row>
    <row r="1337" spans="1:2" x14ac:dyDescent="0.25">
      <c r="A1337" t="s">
        <v>3960</v>
      </c>
      <c r="B1337">
        <v>139357</v>
      </c>
    </row>
    <row r="1338" spans="1:2" x14ac:dyDescent="0.25">
      <c r="A1338" t="s">
        <v>3961</v>
      </c>
      <c r="B1338">
        <v>491215</v>
      </c>
    </row>
    <row r="1339" spans="1:2" x14ac:dyDescent="0.25">
      <c r="A1339" t="s">
        <v>3962</v>
      </c>
      <c r="B1339">
        <v>366261</v>
      </c>
    </row>
    <row r="1340" spans="1:2" x14ac:dyDescent="0.25">
      <c r="A1340" t="s">
        <v>3963</v>
      </c>
      <c r="B1340">
        <v>212975</v>
      </c>
    </row>
    <row r="1341" spans="1:2" x14ac:dyDescent="0.25">
      <c r="A1341" t="s">
        <v>3964</v>
      </c>
      <c r="B1341">
        <v>439570</v>
      </c>
    </row>
    <row r="1342" spans="1:2" x14ac:dyDescent="0.25">
      <c r="A1342" t="s">
        <v>3965</v>
      </c>
      <c r="B1342">
        <v>446163</v>
      </c>
    </row>
    <row r="1343" spans="1:2" x14ac:dyDescent="0.25">
      <c r="A1343" t="s">
        <v>3966</v>
      </c>
      <c r="B1343">
        <v>210605</v>
      </c>
    </row>
    <row r="1344" spans="1:2" x14ac:dyDescent="0.25">
      <c r="A1344" t="s">
        <v>3967</v>
      </c>
      <c r="B1344">
        <v>126863</v>
      </c>
    </row>
    <row r="1345" spans="1:2" x14ac:dyDescent="0.25">
      <c r="A1345" t="s">
        <v>3968</v>
      </c>
      <c r="B1345">
        <v>434672</v>
      </c>
    </row>
    <row r="1346" spans="1:2" x14ac:dyDescent="0.25">
      <c r="A1346" t="s">
        <v>3969</v>
      </c>
      <c r="B1346">
        <v>211079</v>
      </c>
    </row>
    <row r="1347" spans="1:2" x14ac:dyDescent="0.25">
      <c r="A1347" t="s">
        <v>3970</v>
      </c>
      <c r="B1347">
        <v>126942</v>
      </c>
    </row>
    <row r="1348" spans="1:2" x14ac:dyDescent="0.25">
      <c r="A1348" t="s">
        <v>3971</v>
      </c>
      <c r="B1348">
        <v>215239</v>
      </c>
    </row>
    <row r="1349" spans="1:2" x14ac:dyDescent="0.25">
      <c r="A1349" t="s">
        <v>3972</v>
      </c>
      <c r="B1349">
        <v>217475</v>
      </c>
    </row>
    <row r="1350" spans="1:2" x14ac:dyDescent="0.25">
      <c r="A1350" t="s">
        <v>3973</v>
      </c>
      <c r="B1350">
        <v>230861</v>
      </c>
    </row>
    <row r="1351" spans="1:2" x14ac:dyDescent="0.25">
      <c r="A1351" t="s">
        <v>3974</v>
      </c>
      <c r="B1351">
        <v>452540</v>
      </c>
    </row>
    <row r="1352" spans="1:2" x14ac:dyDescent="0.25">
      <c r="A1352" t="s">
        <v>3975</v>
      </c>
      <c r="B1352">
        <v>447962</v>
      </c>
    </row>
    <row r="1353" spans="1:2" x14ac:dyDescent="0.25">
      <c r="A1353" t="s">
        <v>3976</v>
      </c>
      <c r="B1353">
        <v>459417</v>
      </c>
    </row>
    <row r="1354" spans="1:2" x14ac:dyDescent="0.25">
      <c r="A1354" t="s">
        <v>3977</v>
      </c>
      <c r="B1354">
        <v>112686</v>
      </c>
    </row>
    <row r="1355" spans="1:2" x14ac:dyDescent="0.25">
      <c r="A1355" t="s">
        <v>3978</v>
      </c>
      <c r="B1355">
        <v>423120</v>
      </c>
    </row>
    <row r="1356" spans="1:2" x14ac:dyDescent="0.25">
      <c r="A1356" t="s">
        <v>3979</v>
      </c>
      <c r="B1356">
        <v>177083</v>
      </c>
    </row>
    <row r="1357" spans="1:2" x14ac:dyDescent="0.25">
      <c r="A1357" t="s">
        <v>3980</v>
      </c>
      <c r="B1357">
        <v>237330</v>
      </c>
    </row>
    <row r="1358" spans="1:2" x14ac:dyDescent="0.25">
      <c r="A1358" t="s">
        <v>3981</v>
      </c>
      <c r="B1358">
        <v>126687</v>
      </c>
    </row>
    <row r="1359" spans="1:2" x14ac:dyDescent="0.25">
      <c r="A1359" t="s">
        <v>3982</v>
      </c>
      <c r="B1359">
        <v>460181</v>
      </c>
    </row>
    <row r="1360" spans="1:2" x14ac:dyDescent="0.25">
      <c r="A1360" t="s">
        <v>3983</v>
      </c>
      <c r="B1360">
        <v>123679</v>
      </c>
    </row>
    <row r="1361" spans="1:2" x14ac:dyDescent="0.25">
      <c r="A1361" t="s">
        <v>3984</v>
      </c>
      <c r="B1361">
        <v>441742</v>
      </c>
    </row>
    <row r="1362" spans="1:2" x14ac:dyDescent="0.25">
      <c r="A1362" t="s">
        <v>3985</v>
      </c>
      <c r="B1362">
        <v>155283</v>
      </c>
    </row>
    <row r="1363" spans="1:2" x14ac:dyDescent="0.25">
      <c r="A1363" t="s">
        <v>3986</v>
      </c>
      <c r="B1363">
        <v>219903</v>
      </c>
    </row>
    <row r="1364" spans="1:2" x14ac:dyDescent="0.25">
      <c r="A1364" t="s">
        <v>3987</v>
      </c>
      <c r="B1364">
        <v>124937</v>
      </c>
    </row>
    <row r="1365" spans="1:2" x14ac:dyDescent="0.25">
      <c r="A1365" t="s">
        <v>3988</v>
      </c>
      <c r="B1365">
        <v>208479</v>
      </c>
    </row>
    <row r="1366" spans="1:2" x14ac:dyDescent="0.25">
      <c r="A1366" t="s">
        <v>3989</v>
      </c>
      <c r="B1366">
        <v>460206</v>
      </c>
    </row>
    <row r="1367" spans="1:2" x14ac:dyDescent="0.25">
      <c r="A1367" t="s">
        <v>3990</v>
      </c>
      <c r="B1367">
        <v>124706</v>
      </c>
    </row>
    <row r="1368" spans="1:2" x14ac:dyDescent="0.25">
      <c r="A1368" t="s">
        <v>3991</v>
      </c>
      <c r="B1368">
        <v>120661</v>
      </c>
    </row>
    <row r="1369" spans="1:2" x14ac:dyDescent="0.25">
      <c r="A1369" t="s">
        <v>3992</v>
      </c>
      <c r="B1369">
        <v>487588</v>
      </c>
    </row>
    <row r="1370" spans="1:2" x14ac:dyDescent="0.25">
      <c r="A1370" t="s">
        <v>3993</v>
      </c>
      <c r="B1370">
        <v>133845</v>
      </c>
    </row>
    <row r="1371" spans="1:2" x14ac:dyDescent="0.25">
      <c r="A1371" t="s">
        <v>3994</v>
      </c>
      <c r="B1371">
        <v>133854</v>
      </c>
    </row>
    <row r="1372" spans="1:2" x14ac:dyDescent="0.25">
      <c r="A1372" t="s">
        <v>3995</v>
      </c>
      <c r="B1372">
        <v>460190</v>
      </c>
    </row>
    <row r="1373" spans="1:2" x14ac:dyDescent="0.25">
      <c r="A1373" t="s">
        <v>3996</v>
      </c>
      <c r="B1373">
        <v>133863</v>
      </c>
    </row>
    <row r="1374" spans="1:2" x14ac:dyDescent="0.25">
      <c r="A1374" t="s">
        <v>3997</v>
      </c>
      <c r="B1374">
        <v>190248</v>
      </c>
    </row>
    <row r="1375" spans="1:2" x14ac:dyDescent="0.25">
      <c r="A1375" t="s">
        <v>3998</v>
      </c>
      <c r="B1375">
        <v>173300</v>
      </c>
    </row>
    <row r="1376" spans="1:2" x14ac:dyDescent="0.25">
      <c r="A1376" t="s">
        <v>3999</v>
      </c>
      <c r="B1376">
        <v>177092</v>
      </c>
    </row>
    <row r="1377" spans="1:2" x14ac:dyDescent="0.25">
      <c r="A1377" t="s">
        <v>4000</v>
      </c>
      <c r="B1377">
        <v>150288</v>
      </c>
    </row>
    <row r="1378" spans="1:2" x14ac:dyDescent="0.25">
      <c r="A1378" t="s">
        <v>4001</v>
      </c>
      <c r="B1378">
        <v>169363</v>
      </c>
    </row>
    <row r="1379" spans="1:2" x14ac:dyDescent="0.25">
      <c r="A1379" t="s">
        <v>4002</v>
      </c>
      <c r="B1379">
        <v>224004</v>
      </c>
    </row>
    <row r="1380" spans="1:2" x14ac:dyDescent="0.25">
      <c r="A1380" t="s">
        <v>4003</v>
      </c>
      <c r="B1380">
        <v>144351</v>
      </c>
    </row>
    <row r="1381" spans="1:2" x14ac:dyDescent="0.25">
      <c r="A1381" t="s">
        <v>4004</v>
      </c>
      <c r="B1381">
        <v>112075</v>
      </c>
    </row>
    <row r="1382" spans="1:2" x14ac:dyDescent="0.25">
      <c r="A1382" t="s">
        <v>4005</v>
      </c>
      <c r="B1382">
        <v>180984</v>
      </c>
    </row>
    <row r="1383" spans="1:2" x14ac:dyDescent="0.25">
      <c r="A1383" t="s">
        <v>4006</v>
      </c>
      <c r="B1383">
        <v>173328</v>
      </c>
    </row>
    <row r="1384" spans="1:2" x14ac:dyDescent="0.25">
      <c r="A1384" t="s">
        <v>4007</v>
      </c>
      <c r="B1384">
        <v>238616</v>
      </c>
    </row>
    <row r="1385" spans="1:2" x14ac:dyDescent="0.25">
      <c r="A1385" t="s">
        <v>4008</v>
      </c>
      <c r="B1385">
        <v>493600</v>
      </c>
    </row>
    <row r="1386" spans="1:2" x14ac:dyDescent="0.25">
      <c r="A1386" t="s">
        <v>4009</v>
      </c>
      <c r="B1386">
        <v>128902</v>
      </c>
    </row>
    <row r="1387" spans="1:2" x14ac:dyDescent="0.25">
      <c r="A1387" t="s">
        <v>4010</v>
      </c>
      <c r="B1387">
        <v>206996</v>
      </c>
    </row>
    <row r="1388" spans="1:2" x14ac:dyDescent="0.25">
      <c r="A1388" t="s">
        <v>4011</v>
      </c>
      <c r="B1388">
        <v>241766</v>
      </c>
    </row>
    <row r="1389" spans="1:2" x14ac:dyDescent="0.25">
      <c r="A1389" t="s">
        <v>4012</v>
      </c>
      <c r="B1389">
        <v>262341</v>
      </c>
    </row>
    <row r="1390" spans="1:2" x14ac:dyDescent="0.25">
      <c r="A1390" t="s">
        <v>4013</v>
      </c>
      <c r="B1390">
        <v>488040</v>
      </c>
    </row>
    <row r="1391" spans="1:2" x14ac:dyDescent="0.25">
      <c r="A1391" t="s">
        <v>4014</v>
      </c>
      <c r="B1391">
        <v>182652</v>
      </c>
    </row>
    <row r="1392" spans="1:2" x14ac:dyDescent="0.25">
      <c r="A1392" t="s">
        <v>4015</v>
      </c>
      <c r="B1392">
        <v>467094</v>
      </c>
    </row>
    <row r="1393" spans="1:2" x14ac:dyDescent="0.25">
      <c r="A1393" t="s">
        <v>4016</v>
      </c>
      <c r="B1393">
        <v>374990</v>
      </c>
    </row>
    <row r="1394" spans="1:2" x14ac:dyDescent="0.25">
      <c r="A1394" t="s">
        <v>4017</v>
      </c>
      <c r="B1394">
        <v>190318</v>
      </c>
    </row>
    <row r="1395" spans="1:2" x14ac:dyDescent="0.25">
      <c r="A1395" t="s">
        <v>4018</v>
      </c>
      <c r="B1395">
        <v>194435</v>
      </c>
    </row>
    <row r="1396" spans="1:2" x14ac:dyDescent="0.25">
      <c r="A1396" t="s">
        <v>4019</v>
      </c>
      <c r="B1396">
        <v>112826</v>
      </c>
    </row>
    <row r="1397" spans="1:2" x14ac:dyDescent="0.25">
      <c r="A1397" t="s">
        <v>4020</v>
      </c>
      <c r="B1397">
        <v>112817</v>
      </c>
    </row>
    <row r="1398" spans="1:2" x14ac:dyDescent="0.25">
      <c r="A1398" t="s">
        <v>4021</v>
      </c>
      <c r="B1398">
        <v>491950</v>
      </c>
    </row>
    <row r="1399" spans="1:2" x14ac:dyDescent="0.25">
      <c r="A1399" t="s">
        <v>4022</v>
      </c>
      <c r="B1399">
        <v>217961</v>
      </c>
    </row>
    <row r="1400" spans="1:2" x14ac:dyDescent="0.25">
      <c r="A1400" t="s">
        <v>4023</v>
      </c>
      <c r="B1400">
        <v>165495</v>
      </c>
    </row>
    <row r="1401" spans="1:2" x14ac:dyDescent="0.25">
      <c r="A1401" t="s">
        <v>4024</v>
      </c>
      <c r="B1401">
        <v>190372</v>
      </c>
    </row>
    <row r="1402" spans="1:2" x14ac:dyDescent="0.25">
      <c r="A1402" t="s">
        <v>4025</v>
      </c>
      <c r="B1402">
        <v>175573</v>
      </c>
    </row>
    <row r="1403" spans="1:2" x14ac:dyDescent="0.25">
      <c r="A1403" t="s">
        <v>4026</v>
      </c>
      <c r="B1403">
        <v>395362</v>
      </c>
    </row>
    <row r="1404" spans="1:2" x14ac:dyDescent="0.25">
      <c r="A1404" t="s">
        <v>4027</v>
      </c>
      <c r="B1404">
        <v>162283</v>
      </c>
    </row>
    <row r="1405" spans="1:2" x14ac:dyDescent="0.25">
      <c r="A1405" t="s">
        <v>4028</v>
      </c>
      <c r="B1405">
        <v>210331</v>
      </c>
    </row>
    <row r="1406" spans="1:2" x14ac:dyDescent="0.25">
      <c r="A1406" t="s">
        <v>4029</v>
      </c>
      <c r="B1406">
        <v>451343</v>
      </c>
    </row>
    <row r="1407" spans="1:2" x14ac:dyDescent="0.25">
      <c r="A1407" t="s">
        <v>4030</v>
      </c>
      <c r="B1407">
        <v>153162</v>
      </c>
    </row>
    <row r="1408" spans="1:2" x14ac:dyDescent="0.25">
      <c r="A1408" t="s">
        <v>4031</v>
      </c>
      <c r="B1408">
        <v>190415</v>
      </c>
    </row>
    <row r="1409" spans="1:2" x14ac:dyDescent="0.25">
      <c r="A1409" t="s">
        <v>4032</v>
      </c>
      <c r="B1409">
        <v>170037</v>
      </c>
    </row>
    <row r="1410" spans="1:2" x14ac:dyDescent="0.25">
      <c r="A1410" t="s">
        <v>4033</v>
      </c>
      <c r="B1410">
        <v>235024</v>
      </c>
    </row>
    <row r="1411" spans="1:2" x14ac:dyDescent="0.25">
      <c r="A1411" t="s">
        <v>4034</v>
      </c>
      <c r="B1411">
        <v>128896</v>
      </c>
    </row>
    <row r="1412" spans="1:2" x14ac:dyDescent="0.25">
      <c r="A1412" t="s">
        <v>4034</v>
      </c>
      <c r="B1412">
        <v>134574</v>
      </c>
    </row>
    <row r="1413" spans="1:2" x14ac:dyDescent="0.25">
      <c r="A1413" t="s">
        <v>4034</v>
      </c>
      <c r="B1413">
        <v>215044</v>
      </c>
    </row>
    <row r="1414" spans="1:2" x14ac:dyDescent="0.25">
      <c r="A1414" t="s">
        <v>4034</v>
      </c>
      <c r="B1414">
        <v>387925</v>
      </c>
    </row>
    <row r="1415" spans="1:2" x14ac:dyDescent="0.25">
      <c r="A1415" t="s">
        <v>4034</v>
      </c>
      <c r="B1415">
        <v>434308</v>
      </c>
    </row>
    <row r="1416" spans="1:2" x14ac:dyDescent="0.25">
      <c r="A1416" t="s">
        <v>4034</v>
      </c>
      <c r="B1416">
        <v>438285</v>
      </c>
    </row>
    <row r="1417" spans="1:2" x14ac:dyDescent="0.25">
      <c r="A1417" t="s">
        <v>4035</v>
      </c>
      <c r="B1417">
        <v>486770</v>
      </c>
    </row>
    <row r="1418" spans="1:2" x14ac:dyDescent="0.25">
      <c r="A1418" t="s">
        <v>4036</v>
      </c>
      <c r="B1418">
        <v>144795</v>
      </c>
    </row>
    <row r="1419" spans="1:2" x14ac:dyDescent="0.25">
      <c r="A1419" t="s">
        <v>4037</v>
      </c>
      <c r="B1419">
        <v>482200</v>
      </c>
    </row>
    <row r="1420" spans="1:2" x14ac:dyDescent="0.25">
      <c r="A1420" t="s">
        <v>4038</v>
      </c>
      <c r="B1420">
        <v>173470</v>
      </c>
    </row>
    <row r="1421" spans="1:2" x14ac:dyDescent="0.25">
      <c r="A1421" t="s">
        <v>4039</v>
      </c>
      <c r="B1421">
        <v>147642</v>
      </c>
    </row>
    <row r="1422" spans="1:2" x14ac:dyDescent="0.25">
      <c r="A1422" t="s">
        <v>4040</v>
      </c>
      <c r="B1422">
        <v>445780</v>
      </c>
    </row>
    <row r="1423" spans="1:2" x14ac:dyDescent="0.25">
      <c r="A1423" t="s">
        <v>4041</v>
      </c>
      <c r="B1423">
        <v>407142</v>
      </c>
    </row>
    <row r="1424" spans="1:2" x14ac:dyDescent="0.25">
      <c r="A1424" t="s">
        <v>4042</v>
      </c>
      <c r="B1424">
        <v>459189</v>
      </c>
    </row>
    <row r="1425" spans="1:2" x14ac:dyDescent="0.25">
      <c r="A1425" t="s">
        <v>4043</v>
      </c>
      <c r="B1425">
        <v>106795</v>
      </c>
    </row>
    <row r="1426" spans="1:2" x14ac:dyDescent="0.25">
      <c r="A1426" t="s">
        <v>4044</v>
      </c>
      <c r="B1426">
        <v>113096</v>
      </c>
    </row>
    <row r="1427" spans="1:2" x14ac:dyDescent="0.25">
      <c r="A1427" t="s">
        <v>4045</v>
      </c>
      <c r="B1427">
        <v>177117</v>
      </c>
    </row>
    <row r="1428" spans="1:2" x14ac:dyDescent="0.25">
      <c r="A1428" t="s">
        <v>4046</v>
      </c>
      <c r="B1428">
        <v>184180</v>
      </c>
    </row>
    <row r="1429" spans="1:2" x14ac:dyDescent="0.25">
      <c r="A1429" t="s">
        <v>4047</v>
      </c>
      <c r="B1429">
        <v>139393</v>
      </c>
    </row>
    <row r="1430" spans="1:2" x14ac:dyDescent="0.25">
      <c r="A1430" t="s">
        <v>4048</v>
      </c>
      <c r="B1430">
        <v>226675</v>
      </c>
    </row>
    <row r="1431" spans="1:2" x14ac:dyDescent="0.25">
      <c r="A1431" t="s">
        <v>4049</v>
      </c>
      <c r="B1431">
        <v>177126</v>
      </c>
    </row>
    <row r="1432" spans="1:2" x14ac:dyDescent="0.25">
      <c r="A1432" t="s">
        <v>4050</v>
      </c>
      <c r="B1432">
        <v>154952</v>
      </c>
    </row>
    <row r="1433" spans="1:2" x14ac:dyDescent="0.25">
      <c r="A1433" t="s">
        <v>4051</v>
      </c>
      <c r="B1433">
        <v>176770</v>
      </c>
    </row>
    <row r="1434" spans="1:2" x14ac:dyDescent="0.25">
      <c r="A1434" t="s">
        <v>4052</v>
      </c>
      <c r="B1434">
        <v>144485</v>
      </c>
    </row>
    <row r="1435" spans="1:2" x14ac:dyDescent="0.25">
      <c r="A1435" t="s">
        <v>4053</v>
      </c>
      <c r="B1435">
        <v>454874</v>
      </c>
    </row>
    <row r="1436" spans="1:2" x14ac:dyDescent="0.25">
      <c r="A1436" t="s">
        <v>4054</v>
      </c>
      <c r="B1436">
        <v>113111</v>
      </c>
    </row>
    <row r="1437" spans="1:2" x14ac:dyDescent="0.25">
      <c r="A1437" t="s">
        <v>4055</v>
      </c>
      <c r="B1437">
        <v>169424</v>
      </c>
    </row>
    <row r="1438" spans="1:2" x14ac:dyDescent="0.25">
      <c r="A1438" t="s">
        <v>4056</v>
      </c>
      <c r="B1438">
        <v>417503</v>
      </c>
    </row>
    <row r="1439" spans="1:2" x14ac:dyDescent="0.25">
      <c r="A1439" t="s">
        <v>4057</v>
      </c>
      <c r="B1439">
        <v>198367</v>
      </c>
    </row>
    <row r="1440" spans="1:2" x14ac:dyDescent="0.25">
      <c r="A1440" t="s">
        <v>4058</v>
      </c>
      <c r="B1440">
        <v>419484</v>
      </c>
    </row>
    <row r="1441" spans="1:2" x14ac:dyDescent="0.25">
      <c r="A1441" t="s">
        <v>4059</v>
      </c>
      <c r="B1441">
        <v>169813</v>
      </c>
    </row>
    <row r="1442" spans="1:2" x14ac:dyDescent="0.25">
      <c r="A1442" t="s">
        <v>4060</v>
      </c>
      <c r="B1442">
        <v>434830</v>
      </c>
    </row>
    <row r="1443" spans="1:2" x14ac:dyDescent="0.25">
      <c r="A1443" t="s">
        <v>4061</v>
      </c>
      <c r="B1443">
        <v>444051</v>
      </c>
    </row>
    <row r="1444" spans="1:2" x14ac:dyDescent="0.25">
      <c r="A1444" t="s">
        <v>4062</v>
      </c>
      <c r="B1444">
        <v>483911</v>
      </c>
    </row>
    <row r="1445" spans="1:2" x14ac:dyDescent="0.25">
      <c r="A1445" t="s">
        <v>4063</v>
      </c>
      <c r="B1445">
        <v>181002</v>
      </c>
    </row>
    <row r="1446" spans="1:2" x14ac:dyDescent="0.25">
      <c r="A1446" t="s">
        <v>4064</v>
      </c>
      <c r="B1446">
        <v>158617</v>
      </c>
    </row>
    <row r="1447" spans="1:2" x14ac:dyDescent="0.25">
      <c r="A1447" t="s">
        <v>4065</v>
      </c>
      <c r="B1447">
        <v>180090</v>
      </c>
    </row>
    <row r="1448" spans="1:2" x14ac:dyDescent="0.25">
      <c r="A1448" t="s">
        <v>4066</v>
      </c>
      <c r="B1448">
        <v>475608</v>
      </c>
    </row>
    <row r="1449" spans="1:2" x14ac:dyDescent="0.25">
      <c r="A1449" t="s">
        <v>4067</v>
      </c>
      <c r="B1449">
        <v>177135</v>
      </c>
    </row>
    <row r="1450" spans="1:2" x14ac:dyDescent="0.25">
      <c r="A1450" t="s">
        <v>4068</v>
      </c>
      <c r="B1450">
        <v>106810</v>
      </c>
    </row>
    <row r="1451" spans="1:2" x14ac:dyDescent="0.25">
      <c r="A1451" t="s">
        <v>4069</v>
      </c>
      <c r="B1451">
        <v>174862</v>
      </c>
    </row>
    <row r="1452" spans="1:2" x14ac:dyDescent="0.25">
      <c r="A1452" t="s">
        <v>4070</v>
      </c>
      <c r="B1452">
        <v>493530</v>
      </c>
    </row>
    <row r="1453" spans="1:2" x14ac:dyDescent="0.25">
      <c r="A1453" t="s">
        <v>4071</v>
      </c>
      <c r="B1453">
        <v>371830</v>
      </c>
    </row>
    <row r="1454" spans="1:2" x14ac:dyDescent="0.25">
      <c r="A1454" t="s">
        <v>4072</v>
      </c>
      <c r="B1454">
        <v>417248</v>
      </c>
    </row>
    <row r="1455" spans="1:2" x14ac:dyDescent="0.25">
      <c r="A1455" t="s">
        <v>4073</v>
      </c>
      <c r="B1455">
        <v>496715</v>
      </c>
    </row>
    <row r="1456" spans="1:2" x14ac:dyDescent="0.25">
      <c r="A1456" t="s">
        <v>4074</v>
      </c>
      <c r="B1456">
        <v>113193</v>
      </c>
    </row>
    <row r="1457" spans="1:2" x14ac:dyDescent="0.25">
      <c r="A1457" t="s">
        <v>4075</v>
      </c>
      <c r="B1457">
        <v>444565</v>
      </c>
    </row>
    <row r="1458" spans="1:2" x14ac:dyDescent="0.25">
      <c r="A1458" t="s">
        <v>4076</v>
      </c>
      <c r="B1458">
        <v>190503</v>
      </c>
    </row>
    <row r="1459" spans="1:2" x14ac:dyDescent="0.25">
      <c r="A1459" t="s">
        <v>4077</v>
      </c>
      <c r="B1459">
        <v>486390</v>
      </c>
    </row>
    <row r="1460" spans="1:2" x14ac:dyDescent="0.25">
      <c r="A1460" t="s">
        <v>4078</v>
      </c>
      <c r="B1460">
        <v>446206</v>
      </c>
    </row>
    <row r="1461" spans="1:2" x14ac:dyDescent="0.25">
      <c r="A1461" t="s">
        <v>4079</v>
      </c>
      <c r="B1461">
        <v>177144</v>
      </c>
    </row>
    <row r="1462" spans="1:2" x14ac:dyDescent="0.25">
      <c r="A1462" t="s">
        <v>4080</v>
      </c>
      <c r="B1462">
        <v>219949</v>
      </c>
    </row>
    <row r="1463" spans="1:2" x14ac:dyDescent="0.25">
      <c r="A1463" t="s">
        <v>4081</v>
      </c>
      <c r="B1463">
        <v>190512</v>
      </c>
    </row>
    <row r="1464" spans="1:2" x14ac:dyDescent="0.25">
      <c r="A1464" t="s">
        <v>4082</v>
      </c>
      <c r="B1464">
        <v>190521</v>
      </c>
    </row>
    <row r="1465" spans="1:2" x14ac:dyDescent="0.25">
      <c r="A1465" t="s">
        <v>4083</v>
      </c>
      <c r="B1465">
        <v>190530</v>
      </c>
    </row>
    <row r="1466" spans="1:2" x14ac:dyDescent="0.25">
      <c r="A1466" t="s">
        <v>4084</v>
      </c>
      <c r="B1466">
        <v>190549</v>
      </c>
    </row>
    <row r="1467" spans="1:2" x14ac:dyDescent="0.25">
      <c r="A1467" t="s">
        <v>4085</v>
      </c>
      <c r="B1467">
        <v>190567</v>
      </c>
    </row>
    <row r="1468" spans="1:2" x14ac:dyDescent="0.25">
      <c r="A1468" t="s">
        <v>4086</v>
      </c>
      <c r="B1468">
        <v>190576</v>
      </c>
    </row>
    <row r="1469" spans="1:2" x14ac:dyDescent="0.25">
      <c r="A1469" t="s">
        <v>4087</v>
      </c>
      <c r="B1469">
        <v>190585</v>
      </c>
    </row>
    <row r="1470" spans="1:2" x14ac:dyDescent="0.25">
      <c r="A1470" t="s">
        <v>4088</v>
      </c>
      <c r="B1470">
        <v>190594</v>
      </c>
    </row>
    <row r="1471" spans="1:2" x14ac:dyDescent="0.25">
      <c r="A1471" t="s">
        <v>4089</v>
      </c>
      <c r="B1471">
        <v>190600</v>
      </c>
    </row>
    <row r="1472" spans="1:2" x14ac:dyDescent="0.25">
      <c r="A1472" t="s">
        <v>4090</v>
      </c>
      <c r="B1472">
        <v>190619</v>
      </c>
    </row>
    <row r="1473" spans="1:2" x14ac:dyDescent="0.25">
      <c r="A1473" t="s">
        <v>4091</v>
      </c>
      <c r="B1473">
        <v>190628</v>
      </c>
    </row>
    <row r="1474" spans="1:2" x14ac:dyDescent="0.25">
      <c r="A1474" t="s">
        <v>4092</v>
      </c>
      <c r="B1474">
        <v>190637</v>
      </c>
    </row>
    <row r="1475" spans="1:2" x14ac:dyDescent="0.25">
      <c r="A1475" t="s">
        <v>4093</v>
      </c>
      <c r="B1475">
        <v>190646</v>
      </c>
    </row>
    <row r="1476" spans="1:2" x14ac:dyDescent="0.25">
      <c r="A1476" t="s">
        <v>4094</v>
      </c>
      <c r="B1476">
        <v>190655</v>
      </c>
    </row>
    <row r="1477" spans="1:2" x14ac:dyDescent="0.25">
      <c r="A1477" t="s">
        <v>4095</v>
      </c>
      <c r="B1477">
        <v>190664</v>
      </c>
    </row>
    <row r="1478" spans="1:2" x14ac:dyDescent="0.25">
      <c r="A1478" t="s">
        <v>4096</v>
      </c>
      <c r="B1478">
        <v>190673</v>
      </c>
    </row>
    <row r="1479" spans="1:2" x14ac:dyDescent="0.25">
      <c r="A1479" t="s">
        <v>4097</v>
      </c>
      <c r="B1479">
        <v>190682</v>
      </c>
    </row>
    <row r="1480" spans="1:2" x14ac:dyDescent="0.25">
      <c r="A1480" t="s">
        <v>4098</v>
      </c>
      <c r="B1480">
        <v>475565</v>
      </c>
    </row>
    <row r="1481" spans="1:2" x14ac:dyDescent="0.25">
      <c r="A1481" t="s">
        <v>4099</v>
      </c>
      <c r="B1481">
        <v>190035</v>
      </c>
    </row>
    <row r="1482" spans="1:2" x14ac:dyDescent="0.25">
      <c r="A1482" t="s">
        <v>4100</v>
      </c>
      <c r="B1482">
        <v>190691</v>
      </c>
    </row>
    <row r="1483" spans="1:2" x14ac:dyDescent="0.25">
      <c r="A1483" t="s">
        <v>4101</v>
      </c>
      <c r="B1483">
        <v>165529</v>
      </c>
    </row>
    <row r="1484" spans="1:2" x14ac:dyDescent="0.25">
      <c r="A1484" t="s">
        <v>4102</v>
      </c>
      <c r="B1484">
        <v>211893</v>
      </c>
    </row>
    <row r="1485" spans="1:2" x14ac:dyDescent="0.25">
      <c r="A1485" t="s">
        <v>4103</v>
      </c>
      <c r="B1485">
        <v>490300</v>
      </c>
    </row>
    <row r="1486" spans="1:2" x14ac:dyDescent="0.25">
      <c r="A1486" t="s">
        <v>4104</v>
      </c>
      <c r="B1486">
        <v>202356</v>
      </c>
    </row>
    <row r="1487" spans="1:2" x14ac:dyDescent="0.25">
      <c r="A1487" t="s">
        <v>4105</v>
      </c>
      <c r="B1487">
        <v>204981</v>
      </c>
    </row>
    <row r="1488" spans="1:2" x14ac:dyDescent="0.25">
      <c r="A1488" t="s">
        <v>4106</v>
      </c>
      <c r="B1488">
        <v>113218</v>
      </c>
    </row>
    <row r="1489" spans="1:2" x14ac:dyDescent="0.25">
      <c r="A1489" t="s">
        <v>4107</v>
      </c>
      <c r="B1489">
        <v>190707</v>
      </c>
    </row>
    <row r="1490" spans="1:2" x14ac:dyDescent="0.25">
      <c r="A1490" t="s">
        <v>4108</v>
      </c>
      <c r="B1490">
        <v>480888</v>
      </c>
    </row>
    <row r="1491" spans="1:2" x14ac:dyDescent="0.25">
      <c r="A1491" t="s">
        <v>4109</v>
      </c>
      <c r="B1491">
        <v>113236</v>
      </c>
    </row>
    <row r="1492" spans="1:2" x14ac:dyDescent="0.25">
      <c r="A1492" t="s">
        <v>8825</v>
      </c>
      <c r="B1492">
        <v>496070</v>
      </c>
    </row>
    <row r="1493" spans="1:2" x14ac:dyDescent="0.25">
      <c r="A1493" t="s">
        <v>4111</v>
      </c>
      <c r="B1493">
        <v>461306</v>
      </c>
    </row>
    <row r="1494" spans="1:2" x14ac:dyDescent="0.25">
      <c r="A1494" t="s">
        <v>4112</v>
      </c>
      <c r="B1494">
        <v>492096</v>
      </c>
    </row>
    <row r="1495" spans="1:2" x14ac:dyDescent="0.25">
      <c r="A1495" t="s">
        <v>4113</v>
      </c>
      <c r="B1495">
        <v>231873</v>
      </c>
    </row>
    <row r="1496" spans="1:2" x14ac:dyDescent="0.25">
      <c r="A1496" t="s">
        <v>4114</v>
      </c>
      <c r="B1496">
        <v>190725</v>
      </c>
    </row>
    <row r="1497" spans="1:2" x14ac:dyDescent="0.25">
      <c r="A1497" t="s">
        <v>4115</v>
      </c>
      <c r="B1497">
        <v>200314</v>
      </c>
    </row>
    <row r="1498" spans="1:2" x14ac:dyDescent="0.25">
      <c r="A1498" t="s">
        <v>4116</v>
      </c>
      <c r="B1498">
        <v>173416</v>
      </c>
    </row>
    <row r="1499" spans="1:2" x14ac:dyDescent="0.25">
      <c r="A1499" t="s">
        <v>4117</v>
      </c>
      <c r="B1499">
        <v>219082</v>
      </c>
    </row>
    <row r="1500" spans="1:2" x14ac:dyDescent="0.25">
      <c r="A1500" t="s">
        <v>4118</v>
      </c>
      <c r="B1500">
        <v>219091</v>
      </c>
    </row>
    <row r="1501" spans="1:2" x14ac:dyDescent="0.25">
      <c r="A1501" t="s">
        <v>4119</v>
      </c>
      <c r="B1501">
        <v>224226</v>
      </c>
    </row>
    <row r="1502" spans="1:2" x14ac:dyDescent="0.25">
      <c r="A1502" t="s">
        <v>4120</v>
      </c>
      <c r="B1502">
        <v>443021</v>
      </c>
    </row>
    <row r="1503" spans="1:2" x14ac:dyDescent="0.25">
      <c r="A1503" t="s">
        <v>4121</v>
      </c>
      <c r="B1503">
        <v>224244</v>
      </c>
    </row>
    <row r="1504" spans="1:2" x14ac:dyDescent="0.25">
      <c r="A1504" t="s">
        <v>4122</v>
      </c>
      <c r="B1504">
        <v>224615</v>
      </c>
    </row>
    <row r="1505" spans="1:2" x14ac:dyDescent="0.25">
      <c r="A1505" t="s">
        <v>4123</v>
      </c>
      <c r="B1505">
        <v>224271</v>
      </c>
    </row>
    <row r="1506" spans="1:2" x14ac:dyDescent="0.25">
      <c r="A1506" t="s">
        <v>4124</v>
      </c>
      <c r="B1506">
        <v>224305</v>
      </c>
    </row>
    <row r="1507" spans="1:2" x14ac:dyDescent="0.25">
      <c r="A1507" t="s">
        <v>4125</v>
      </c>
      <c r="B1507">
        <v>487959</v>
      </c>
    </row>
    <row r="1508" spans="1:2" x14ac:dyDescent="0.25">
      <c r="A1508" t="s">
        <v>4126</v>
      </c>
      <c r="B1508">
        <v>139463</v>
      </c>
    </row>
    <row r="1509" spans="1:2" x14ac:dyDescent="0.25">
      <c r="A1509" t="s">
        <v>4127</v>
      </c>
      <c r="B1509">
        <v>144564</v>
      </c>
    </row>
    <row r="1510" spans="1:2" x14ac:dyDescent="0.25">
      <c r="A1510" t="s">
        <v>4128</v>
      </c>
      <c r="B1510">
        <v>231882</v>
      </c>
    </row>
    <row r="1511" spans="1:2" x14ac:dyDescent="0.25">
      <c r="A1511" t="s">
        <v>4129</v>
      </c>
      <c r="B1511">
        <v>455178</v>
      </c>
    </row>
    <row r="1512" spans="1:2" x14ac:dyDescent="0.25">
      <c r="A1512" t="s">
        <v>4130</v>
      </c>
      <c r="B1512">
        <v>182670</v>
      </c>
    </row>
    <row r="1513" spans="1:2" x14ac:dyDescent="0.25">
      <c r="A1513" t="s">
        <v>4131</v>
      </c>
      <c r="B1513">
        <v>169479</v>
      </c>
    </row>
    <row r="1514" spans="1:2" x14ac:dyDescent="0.25">
      <c r="A1514" t="s">
        <v>4132</v>
      </c>
      <c r="B1514">
        <v>169503</v>
      </c>
    </row>
    <row r="1515" spans="1:2" x14ac:dyDescent="0.25">
      <c r="A1515" t="s">
        <v>4133</v>
      </c>
      <c r="B1515">
        <v>198385</v>
      </c>
    </row>
    <row r="1516" spans="1:2" x14ac:dyDescent="0.25">
      <c r="A1516" t="s">
        <v>4134</v>
      </c>
      <c r="B1516">
        <v>198376</v>
      </c>
    </row>
    <row r="1517" spans="1:2" x14ac:dyDescent="0.25">
      <c r="A1517" t="s">
        <v>4135</v>
      </c>
      <c r="B1517">
        <v>486859</v>
      </c>
    </row>
    <row r="1518" spans="1:2" x14ac:dyDescent="0.25">
      <c r="A1518" t="s">
        <v>4136</v>
      </c>
      <c r="B1518">
        <v>237358</v>
      </c>
    </row>
    <row r="1519" spans="1:2" x14ac:dyDescent="0.25">
      <c r="A1519" t="s">
        <v>4137</v>
      </c>
      <c r="B1519">
        <v>194569</v>
      </c>
    </row>
    <row r="1520" spans="1:2" x14ac:dyDescent="0.25">
      <c r="A1520" t="s">
        <v>4137</v>
      </c>
      <c r="B1520">
        <v>202435</v>
      </c>
    </row>
    <row r="1521" spans="1:2" x14ac:dyDescent="0.25">
      <c r="A1521" t="s">
        <v>4138</v>
      </c>
      <c r="B1521">
        <v>230162</v>
      </c>
    </row>
    <row r="1522" spans="1:2" x14ac:dyDescent="0.25">
      <c r="A1522" t="s">
        <v>4139</v>
      </c>
      <c r="B1522">
        <v>130873</v>
      </c>
    </row>
    <row r="1523" spans="1:2" x14ac:dyDescent="0.25">
      <c r="A1523" t="s">
        <v>4140</v>
      </c>
      <c r="B1523">
        <v>180151</v>
      </c>
    </row>
    <row r="1524" spans="1:2" x14ac:dyDescent="0.25">
      <c r="A1524" t="s">
        <v>4141</v>
      </c>
      <c r="B1524">
        <v>496469</v>
      </c>
    </row>
    <row r="1525" spans="1:2" x14ac:dyDescent="0.25">
      <c r="A1525" t="s">
        <v>4142</v>
      </c>
      <c r="B1525">
        <v>202453</v>
      </c>
    </row>
    <row r="1526" spans="1:2" x14ac:dyDescent="0.25">
      <c r="A1526" t="s">
        <v>4143</v>
      </c>
      <c r="B1526">
        <v>449700</v>
      </c>
    </row>
    <row r="1527" spans="1:2" x14ac:dyDescent="0.25">
      <c r="A1527" t="s">
        <v>4144</v>
      </c>
      <c r="B1527">
        <v>447014</v>
      </c>
    </row>
    <row r="1528" spans="1:2" x14ac:dyDescent="0.25">
      <c r="A1528" t="s">
        <v>4145</v>
      </c>
      <c r="B1528">
        <v>133386</v>
      </c>
    </row>
    <row r="1529" spans="1:2" x14ac:dyDescent="0.25">
      <c r="A1529" t="s">
        <v>4146</v>
      </c>
      <c r="B1529">
        <v>406413</v>
      </c>
    </row>
    <row r="1530" spans="1:2" x14ac:dyDescent="0.25">
      <c r="A1530" t="s">
        <v>4147</v>
      </c>
      <c r="B1530">
        <v>113333</v>
      </c>
    </row>
    <row r="1531" spans="1:2" x14ac:dyDescent="0.25">
      <c r="A1531" t="s">
        <v>4148</v>
      </c>
      <c r="B1531">
        <v>165574</v>
      </c>
    </row>
    <row r="1532" spans="1:2" x14ac:dyDescent="0.25">
      <c r="A1532" t="s">
        <v>4149</v>
      </c>
      <c r="B1532">
        <v>484084</v>
      </c>
    </row>
    <row r="1533" spans="1:2" x14ac:dyDescent="0.25">
      <c r="A1533" t="s">
        <v>4150</v>
      </c>
      <c r="B1533">
        <v>202514</v>
      </c>
    </row>
    <row r="1534" spans="1:2" x14ac:dyDescent="0.25">
      <c r="A1534" t="s">
        <v>4151</v>
      </c>
      <c r="B1534">
        <v>488192</v>
      </c>
    </row>
    <row r="1535" spans="1:2" x14ac:dyDescent="0.25">
      <c r="A1535" t="s">
        <v>4152</v>
      </c>
      <c r="B1535">
        <v>224350</v>
      </c>
    </row>
    <row r="1536" spans="1:2" x14ac:dyDescent="0.25">
      <c r="A1536" t="s">
        <v>4153</v>
      </c>
      <c r="B1536">
        <v>406361</v>
      </c>
    </row>
    <row r="1537" spans="1:2" x14ac:dyDescent="0.25">
      <c r="A1537" t="s">
        <v>4154</v>
      </c>
      <c r="B1537">
        <v>432524</v>
      </c>
    </row>
    <row r="1538" spans="1:2" x14ac:dyDescent="0.25">
      <c r="A1538" t="s">
        <v>4155</v>
      </c>
      <c r="B1538">
        <v>211927</v>
      </c>
    </row>
    <row r="1539" spans="1:2" x14ac:dyDescent="0.25">
      <c r="A1539" t="s">
        <v>4156</v>
      </c>
      <c r="B1539">
        <v>430971</v>
      </c>
    </row>
    <row r="1540" spans="1:2" x14ac:dyDescent="0.25">
      <c r="A1540" t="s">
        <v>4157</v>
      </c>
      <c r="B1540">
        <v>449472</v>
      </c>
    </row>
    <row r="1541" spans="1:2" x14ac:dyDescent="0.25">
      <c r="A1541" t="s">
        <v>4158</v>
      </c>
      <c r="B1541">
        <v>130934</v>
      </c>
    </row>
    <row r="1542" spans="1:2" x14ac:dyDescent="0.25">
      <c r="A1542" t="s">
        <v>4159</v>
      </c>
      <c r="B1542">
        <v>130882</v>
      </c>
    </row>
    <row r="1543" spans="1:2" x14ac:dyDescent="0.25">
      <c r="A1543" t="s">
        <v>4160</v>
      </c>
      <c r="B1543">
        <v>130907</v>
      </c>
    </row>
    <row r="1544" spans="1:2" x14ac:dyDescent="0.25">
      <c r="A1544" t="s">
        <v>4161</v>
      </c>
      <c r="B1544">
        <v>211981</v>
      </c>
    </row>
    <row r="1545" spans="1:2" x14ac:dyDescent="0.25">
      <c r="A1545" t="s">
        <v>4162</v>
      </c>
      <c r="B1545">
        <v>158662</v>
      </c>
    </row>
    <row r="1546" spans="1:2" x14ac:dyDescent="0.25">
      <c r="A1546" t="s">
        <v>4163</v>
      </c>
      <c r="B1546">
        <v>113537</v>
      </c>
    </row>
    <row r="1547" spans="1:2" x14ac:dyDescent="0.25">
      <c r="A1547" t="s">
        <v>4164</v>
      </c>
      <c r="B1547">
        <v>162335</v>
      </c>
    </row>
    <row r="1548" spans="1:2" x14ac:dyDescent="0.25">
      <c r="A1548" t="s">
        <v>4165</v>
      </c>
      <c r="B1548">
        <v>175607</v>
      </c>
    </row>
    <row r="1549" spans="1:2" x14ac:dyDescent="0.25">
      <c r="A1549" t="s">
        <v>4166</v>
      </c>
      <c r="B1549">
        <v>169521</v>
      </c>
    </row>
    <row r="1550" spans="1:2" x14ac:dyDescent="0.25">
      <c r="A1550" t="s">
        <v>4167</v>
      </c>
      <c r="B1550">
        <v>402563</v>
      </c>
    </row>
    <row r="1551" spans="1:2" x14ac:dyDescent="0.25">
      <c r="A1551" t="s">
        <v>4168</v>
      </c>
      <c r="B1551">
        <v>366270</v>
      </c>
    </row>
    <row r="1552" spans="1:2" x14ac:dyDescent="0.25">
      <c r="A1552" t="s">
        <v>4169</v>
      </c>
      <c r="B1552">
        <v>483355</v>
      </c>
    </row>
    <row r="1553" spans="1:2" x14ac:dyDescent="0.25">
      <c r="A1553" t="s">
        <v>4170</v>
      </c>
      <c r="B1553">
        <v>483364</v>
      </c>
    </row>
    <row r="1554" spans="1:2" x14ac:dyDescent="0.25">
      <c r="A1554" t="s">
        <v>4171</v>
      </c>
      <c r="B1554">
        <v>490540</v>
      </c>
    </row>
    <row r="1555" spans="1:2" x14ac:dyDescent="0.25">
      <c r="A1555" t="s">
        <v>4172</v>
      </c>
      <c r="B1555">
        <v>175616</v>
      </c>
    </row>
    <row r="1556" spans="1:2" x14ac:dyDescent="0.25">
      <c r="A1556" t="s">
        <v>4173</v>
      </c>
      <c r="B1556">
        <v>447023</v>
      </c>
    </row>
    <row r="1557" spans="1:2" x14ac:dyDescent="0.25">
      <c r="A1557" t="s">
        <v>4174</v>
      </c>
      <c r="B1557">
        <v>493804</v>
      </c>
    </row>
    <row r="1558" spans="1:2" x14ac:dyDescent="0.25">
      <c r="A1558" t="s">
        <v>4175</v>
      </c>
      <c r="B1558">
        <v>158787</v>
      </c>
    </row>
    <row r="1559" spans="1:2" x14ac:dyDescent="0.25">
      <c r="A1559" t="s">
        <v>4176</v>
      </c>
      <c r="B1559">
        <v>202523</v>
      </c>
    </row>
    <row r="1560" spans="1:2" x14ac:dyDescent="0.25">
      <c r="A1560" t="s">
        <v>4177</v>
      </c>
      <c r="B1560">
        <v>449603</v>
      </c>
    </row>
    <row r="1561" spans="1:2" x14ac:dyDescent="0.25">
      <c r="A1561" t="s">
        <v>4178</v>
      </c>
      <c r="B1561">
        <v>217989</v>
      </c>
    </row>
    <row r="1562" spans="1:2" x14ac:dyDescent="0.25">
      <c r="A1562" t="s">
        <v>4179</v>
      </c>
      <c r="B1562">
        <v>452771</v>
      </c>
    </row>
    <row r="1563" spans="1:2" x14ac:dyDescent="0.25">
      <c r="A1563" t="s">
        <v>4180</v>
      </c>
      <c r="B1563">
        <v>452780</v>
      </c>
    </row>
    <row r="1564" spans="1:2" x14ac:dyDescent="0.25">
      <c r="A1564" t="s">
        <v>4181</v>
      </c>
      <c r="B1564">
        <v>454856</v>
      </c>
    </row>
    <row r="1565" spans="1:2" x14ac:dyDescent="0.25">
      <c r="A1565" t="s">
        <v>4182</v>
      </c>
      <c r="B1565">
        <v>126979</v>
      </c>
    </row>
    <row r="1566" spans="1:2" x14ac:dyDescent="0.25">
      <c r="A1566" t="s">
        <v>4183</v>
      </c>
      <c r="B1566">
        <v>144740</v>
      </c>
    </row>
    <row r="1567" spans="1:2" x14ac:dyDescent="0.25">
      <c r="A1567" t="s">
        <v>4184</v>
      </c>
      <c r="B1567">
        <v>150400</v>
      </c>
    </row>
    <row r="1568" spans="1:2" x14ac:dyDescent="0.25">
      <c r="A1568" t="s">
        <v>4185</v>
      </c>
      <c r="B1568">
        <v>494463</v>
      </c>
    </row>
    <row r="1569" spans="1:2" x14ac:dyDescent="0.25">
      <c r="A1569" t="s">
        <v>4186</v>
      </c>
      <c r="B1569">
        <v>484923</v>
      </c>
    </row>
    <row r="1570" spans="1:2" x14ac:dyDescent="0.25">
      <c r="A1570" t="s">
        <v>4187</v>
      </c>
      <c r="B1570">
        <v>153214</v>
      </c>
    </row>
    <row r="1571" spans="1:2" x14ac:dyDescent="0.25">
      <c r="A1571" t="s">
        <v>4188</v>
      </c>
      <c r="B1571">
        <v>154156</v>
      </c>
    </row>
    <row r="1572" spans="1:2" x14ac:dyDescent="0.25">
      <c r="A1572" t="s">
        <v>4189</v>
      </c>
      <c r="B1572">
        <v>210739</v>
      </c>
    </row>
    <row r="1573" spans="1:2" x14ac:dyDescent="0.25">
      <c r="A1573" t="s">
        <v>4190</v>
      </c>
      <c r="B1573">
        <v>113582</v>
      </c>
    </row>
    <row r="1574" spans="1:2" x14ac:dyDescent="0.25">
      <c r="A1574" t="s">
        <v>4191</v>
      </c>
      <c r="B1574">
        <v>480921</v>
      </c>
    </row>
    <row r="1575" spans="1:2" x14ac:dyDescent="0.25">
      <c r="A1575" t="s">
        <v>4192</v>
      </c>
      <c r="B1575">
        <v>441256</v>
      </c>
    </row>
    <row r="1576" spans="1:2" x14ac:dyDescent="0.25">
      <c r="A1576" t="s">
        <v>4193</v>
      </c>
      <c r="B1576">
        <v>169576</v>
      </c>
    </row>
    <row r="1577" spans="1:2" x14ac:dyDescent="0.25">
      <c r="A1577" t="s">
        <v>4194</v>
      </c>
      <c r="B1577">
        <v>482413</v>
      </c>
    </row>
    <row r="1578" spans="1:2" x14ac:dyDescent="0.25">
      <c r="A1578" t="s">
        <v>4195</v>
      </c>
      <c r="B1578">
        <v>144777</v>
      </c>
    </row>
    <row r="1579" spans="1:2" x14ac:dyDescent="0.25">
      <c r="A1579" t="s">
        <v>4196</v>
      </c>
      <c r="B1579">
        <v>482422</v>
      </c>
    </row>
    <row r="1580" spans="1:2" x14ac:dyDescent="0.25">
      <c r="A1580" t="s">
        <v>4197</v>
      </c>
      <c r="B1580">
        <v>482431</v>
      </c>
    </row>
    <row r="1581" spans="1:2" x14ac:dyDescent="0.25">
      <c r="A1581" t="s">
        <v>4198</v>
      </c>
      <c r="B1581">
        <v>482440</v>
      </c>
    </row>
    <row r="1582" spans="1:2" x14ac:dyDescent="0.25">
      <c r="A1582" t="s">
        <v>4199</v>
      </c>
      <c r="B1582">
        <v>482459</v>
      </c>
    </row>
    <row r="1583" spans="1:2" x14ac:dyDescent="0.25">
      <c r="A1583" t="s">
        <v>4200</v>
      </c>
      <c r="B1583">
        <v>482468</v>
      </c>
    </row>
    <row r="1584" spans="1:2" x14ac:dyDescent="0.25">
      <c r="A1584" t="s">
        <v>4201</v>
      </c>
      <c r="B1584">
        <v>482477</v>
      </c>
    </row>
    <row r="1585" spans="1:2" x14ac:dyDescent="0.25">
      <c r="A1585" t="s">
        <v>4202</v>
      </c>
      <c r="B1585">
        <v>482486</v>
      </c>
    </row>
    <row r="1586" spans="1:2" x14ac:dyDescent="0.25">
      <c r="A1586" t="s">
        <v>4203</v>
      </c>
      <c r="B1586">
        <v>482538</v>
      </c>
    </row>
    <row r="1587" spans="1:2" x14ac:dyDescent="0.25">
      <c r="A1587" t="s">
        <v>4204</v>
      </c>
      <c r="B1587">
        <v>482547</v>
      </c>
    </row>
    <row r="1588" spans="1:2" x14ac:dyDescent="0.25">
      <c r="A1588" t="s">
        <v>4205</v>
      </c>
      <c r="B1588">
        <v>482556</v>
      </c>
    </row>
    <row r="1589" spans="1:2" x14ac:dyDescent="0.25">
      <c r="A1589" t="s">
        <v>4206</v>
      </c>
      <c r="B1589">
        <v>482565</v>
      </c>
    </row>
    <row r="1590" spans="1:2" x14ac:dyDescent="0.25">
      <c r="A1590" t="s">
        <v>4207</v>
      </c>
      <c r="B1590">
        <v>482574</v>
      </c>
    </row>
    <row r="1591" spans="1:2" x14ac:dyDescent="0.25">
      <c r="A1591" t="s">
        <v>4208</v>
      </c>
      <c r="B1591">
        <v>482608</v>
      </c>
    </row>
    <row r="1592" spans="1:2" x14ac:dyDescent="0.25">
      <c r="A1592" t="s">
        <v>4209</v>
      </c>
      <c r="B1592">
        <v>482617</v>
      </c>
    </row>
    <row r="1593" spans="1:2" x14ac:dyDescent="0.25">
      <c r="A1593" t="s">
        <v>4210</v>
      </c>
      <c r="B1593">
        <v>482635</v>
      </c>
    </row>
    <row r="1594" spans="1:2" x14ac:dyDescent="0.25">
      <c r="A1594" t="s">
        <v>4211</v>
      </c>
      <c r="B1594">
        <v>482653</v>
      </c>
    </row>
    <row r="1595" spans="1:2" x14ac:dyDescent="0.25">
      <c r="A1595" t="s">
        <v>4212</v>
      </c>
      <c r="B1595">
        <v>434900</v>
      </c>
    </row>
    <row r="1596" spans="1:2" x14ac:dyDescent="0.25">
      <c r="A1596" t="s">
        <v>4213</v>
      </c>
      <c r="B1596">
        <v>443562</v>
      </c>
    </row>
    <row r="1597" spans="1:2" x14ac:dyDescent="0.25">
      <c r="A1597" t="s">
        <v>8826</v>
      </c>
      <c r="B1597">
        <v>449135</v>
      </c>
    </row>
    <row r="1598" spans="1:2" x14ac:dyDescent="0.25">
      <c r="A1598" t="s">
        <v>4215</v>
      </c>
      <c r="B1598">
        <v>469416</v>
      </c>
    </row>
    <row r="1599" spans="1:2" x14ac:dyDescent="0.25">
      <c r="A1599" t="s">
        <v>4216</v>
      </c>
      <c r="B1599">
        <v>113634</v>
      </c>
    </row>
    <row r="1600" spans="1:2" x14ac:dyDescent="0.25">
      <c r="A1600" t="s">
        <v>4217</v>
      </c>
      <c r="B1600">
        <v>476780</v>
      </c>
    </row>
    <row r="1601" spans="1:2" x14ac:dyDescent="0.25">
      <c r="A1601" t="s">
        <v>4218</v>
      </c>
      <c r="B1601">
        <v>461388</v>
      </c>
    </row>
    <row r="1602" spans="1:2" x14ac:dyDescent="0.25">
      <c r="A1602" t="s">
        <v>4219</v>
      </c>
      <c r="B1602">
        <v>212009</v>
      </c>
    </row>
    <row r="1603" spans="1:2" x14ac:dyDescent="0.25">
      <c r="A1603" t="s">
        <v>4220</v>
      </c>
      <c r="B1603">
        <v>200059</v>
      </c>
    </row>
    <row r="1604" spans="1:2" x14ac:dyDescent="0.25">
      <c r="A1604" t="s">
        <v>4221</v>
      </c>
      <c r="B1604">
        <v>373526</v>
      </c>
    </row>
    <row r="1605" spans="1:2" x14ac:dyDescent="0.25">
      <c r="A1605" t="s">
        <v>4222</v>
      </c>
      <c r="B1605">
        <v>260664</v>
      </c>
    </row>
    <row r="1606" spans="1:2" x14ac:dyDescent="0.25">
      <c r="A1606" t="s">
        <v>4223</v>
      </c>
      <c r="B1606">
        <v>443410</v>
      </c>
    </row>
    <row r="1607" spans="1:2" x14ac:dyDescent="0.25">
      <c r="A1607" t="s">
        <v>4224</v>
      </c>
      <c r="B1607">
        <v>480028</v>
      </c>
    </row>
    <row r="1608" spans="1:2" x14ac:dyDescent="0.25">
      <c r="A1608" t="s">
        <v>4225</v>
      </c>
      <c r="B1608">
        <v>490498</v>
      </c>
    </row>
    <row r="1609" spans="1:2" x14ac:dyDescent="0.25">
      <c r="A1609" t="s">
        <v>4226</v>
      </c>
      <c r="B1609">
        <v>451255</v>
      </c>
    </row>
    <row r="1610" spans="1:2" x14ac:dyDescent="0.25">
      <c r="A1610" t="s">
        <v>4227</v>
      </c>
      <c r="B1610">
        <v>158802</v>
      </c>
    </row>
    <row r="1611" spans="1:2" x14ac:dyDescent="0.25">
      <c r="A1611" t="s">
        <v>4228</v>
      </c>
      <c r="B1611">
        <v>165608</v>
      </c>
    </row>
    <row r="1612" spans="1:2" x14ac:dyDescent="0.25">
      <c r="A1612" t="s">
        <v>4229</v>
      </c>
      <c r="B1612">
        <v>105297</v>
      </c>
    </row>
    <row r="1613" spans="1:2" x14ac:dyDescent="0.25">
      <c r="A1613" t="s">
        <v>4230</v>
      </c>
      <c r="B1613">
        <v>184278</v>
      </c>
    </row>
    <row r="1614" spans="1:2" x14ac:dyDescent="0.25">
      <c r="A1614" t="s">
        <v>4231</v>
      </c>
      <c r="B1614">
        <v>235088</v>
      </c>
    </row>
    <row r="1615" spans="1:2" x14ac:dyDescent="0.25">
      <c r="A1615" t="s">
        <v>4232</v>
      </c>
      <c r="B1615">
        <v>395690</v>
      </c>
    </row>
    <row r="1616" spans="1:2" x14ac:dyDescent="0.25">
      <c r="A1616" t="s">
        <v>4233</v>
      </c>
      <c r="B1616">
        <v>445869</v>
      </c>
    </row>
    <row r="1617" spans="1:2" x14ac:dyDescent="0.25">
      <c r="A1617" t="s">
        <v>4234</v>
      </c>
      <c r="B1617">
        <v>153241</v>
      </c>
    </row>
    <row r="1618" spans="1:2" x14ac:dyDescent="0.25">
      <c r="A1618" t="s">
        <v>4235</v>
      </c>
      <c r="B1618">
        <v>230171</v>
      </c>
    </row>
    <row r="1619" spans="1:2" x14ac:dyDescent="0.25">
      <c r="A1619" t="s">
        <v>4236</v>
      </c>
      <c r="B1619">
        <v>451583</v>
      </c>
    </row>
    <row r="1620" spans="1:2" x14ac:dyDescent="0.25">
      <c r="A1620" t="s">
        <v>4237</v>
      </c>
      <c r="B1620">
        <v>211802</v>
      </c>
    </row>
    <row r="1621" spans="1:2" x14ac:dyDescent="0.25">
      <c r="A1621" t="s">
        <v>4238</v>
      </c>
      <c r="B1621">
        <v>418773</v>
      </c>
    </row>
    <row r="1622" spans="1:2" x14ac:dyDescent="0.25">
      <c r="A1622" t="s">
        <v>4239</v>
      </c>
      <c r="B1622">
        <v>181020</v>
      </c>
    </row>
    <row r="1623" spans="1:2" x14ac:dyDescent="0.25">
      <c r="A1623" t="s">
        <v>4240</v>
      </c>
      <c r="B1623">
        <v>154998</v>
      </c>
    </row>
    <row r="1624" spans="1:2" x14ac:dyDescent="0.25">
      <c r="A1624" t="s">
        <v>4241</v>
      </c>
      <c r="B1624">
        <v>485607</v>
      </c>
    </row>
    <row r="1625" spans="1:2" x14ac:dyDescent="0.25">
      <c r="A1625" t="s">
        <v>4242</v>
      </c>
      <c r="B1625">
        <v>190761</v>
      </c>
    </row>
    <row r="1626" spans="1:2" x14ac:dyDescent="0.25">
      <c r="A1626" t="s">
        <v>4243</v>
      </c>
      <c r="B1626">
        <v>113704</v>
      </c>
    </row>
    <row r="1627" spans="1:2" x14ac:dyDescent="0.25">
      <c r="A1627" t="s">
        <v>4244</v>
      </c>
      <c r="B1627">
        <v>148496</v>
      </c>
    </row>
    <row r="1628" spans="1:2" x14ac:dyDescent="0.25">
      <c r="A1628" t="s">
        <v>4245</v>
      </c>
      <c r="B1628">
        <v>113698</v>
      </c>
    </row>
    <row r="1629" spans="1:2" x14ac:dyDescent="0.25">
      <c r="A1629" t="s">
        <v>4246</v>
      </c>
      <c r="B1629">
        <v>150428</v>
      </c>
    </row>
    <row r="1630" spans="1:2" x14ac:dyDescent="0.25">
      <c r="A1630" t="s">
        <v>4247</v>
      </c>
      <c r="B1630">
        <v>122117</v>
      </c>
    </row>
    <row r="1631" spans="1:2" x14ac:dyDescent="0.25">
      <c r="A1631" t="s">
        <v>4248</v>
      </c>
      <c r="B1631">
        <v>155007</v>
      </c>
    </row>
    <row r="1632" spans="1:2" x14ac:dyDescent="0.25">
      <c r="A1632" t="s">
        <v>4249</v>
      </c>
      <c r="B1632">
        <v>153250</v>
      </c>
    </row>
    <row r="1633" spans="1:2" x14ac:dyDescent="0.25">
      <c r="A1633" t="s">
        <v>4250</v>
      </c>
      <c r="B1633">
        <v>169761</v>
      </c>
    </row>
    <row r="1634" spans="1:2" x14ac:dyDescent="0.25">
      <c r="A1634" t="s">
        <v>4251</v>
      </c>
      <c r="B1634">
        <v>483504</v>
      </c>
    </row>
    <row r="1635" spans="1:2" x14ac:dyDescent="0.25">
      <c r="A1635" t="s">
        <v>4252</v>
      </c>
      <c r="B1635">
        <v>250744</v>
      </c>
    </row>
    <row r="1636" spans="1:2" x14ac:dyDescent="0.25">
      <c r="A1636" t="s">
        <v>4252</v>
      </c>
      <c r="B1636">
        <v>455558</v>
      </c>
    </row>
    <row r="1637" spans="1:2" x14ac:dyDescent="0.25">
      <c r="A1637" t="s">
        <v>4253</v>
      </c>
      <c r="B1637">
        <v>460482</v>
      </c>
    </row>
    <row r="1638" spans="1:2" x14ac:dyDescent="0.25">
      <c r="A1638" t="s">
        <v>4254</v>
      </c>
      <c r="B1638">
        <v>247153</v>
      </c>
    </row>
    <row r="1639" spans="1:2" x14ac:dyDescent="0.25">
      <c r="A1639" t="s">
        <v>4255</v>
      </c>
      <c r="B1639">
        <v>495837</v>
      </c>
    </row>
    <row r="1640" spans="1:2" x14ac:dyDescent="0.25">
      <c r="A1640" t="s">
        <v>4256</v>
      </c>
      <c r="B1640">
        <v>169734</v>
      </c>
    </row>
    <row r="1641" spans="1:2" x14ac:dyDescent="0.25">
      <c r="A1641" t="s">
        <v>4257</v>
      </c>
      <c r="B1641">
        <v>212045</v>
      </c>
    </row>
    <row r="1642" spans="1:2" x14ac:dyDescent="0.25">
      <c r="A1642" t="s">
        <v>4258</v>
      </c>
      <c r="B1642">
        <v>261436</v>
      </c>
    </row>
    <row r="1643" spans="1:2" x14ac:dyDescent="0.25">
      <c r="A1643" t="s">
        <v>4259</v>
      </c>
      <c r="B1643">
        <v>371690</v>
      </c>
    </row>
    <row r="1644" spans="1:2" x14ac:dyDescent="0.25">
      <c r="A1644" t="s">
        <v>4260</v>
      </c>
      <c r="B1644">
        <v>262466</v>
      </c>
    </row>
    <row r="1645" spans="1:2" x14ac:dyDescent="0.25">
      <c r="A1645" t="s">
        <v>4261</v>
      </c>
      <c r="B1645">
        <v>449481</v>
      </c>
    </row>
    <row r="1646" spans="1:2" x14ac:dyDescent="0.25">
      <c r="A1646" t="s">
        <v>4262</v>
      </c>
      <c r="B1646">
        <v>153269</v>
      </c>
    </row>
    <row r="1647" spans="1:2" x14ac:dyDescent="0.25">
      <c r="A1647" t="s">
        <v>4263</v>
      </c>
      <c r="B1647">
        <v>184348</v>
      </c>
    </row>
    <row r="1648" spans="1:2" x14ac:dyDescent="0.25">
      <c r="A1648" t="s">
        <v>4264</v>
      </c>
      <c r="B1648">
        <v>212054</v>
      </c>
    </row>
    <row r="1649" spans="1:2" x14ac:dyDescent="0.25">
      <c r="A1649" t="s">
        <v>4265</v>
      </c>
      <c r="B1649">
        <v>177214</v>
      </c>
    </row>
    <row r="1650" spans="1:2" x14ac:dyDescent="0.25">
      <c r="A1650" t="s">
        <v>4266</v>
      </c>
      <c r="B1650">
        <v>492801</v>
      </c>
    </row>
    <row r="1651" spans="1:2" x14ac:dyDescent="0.25">
      <c r="A1651" t="s">
        <v>4267</v>
      </c>
      <c r="B1651">
        <v>492139</v>
      </c>
    </row>
    <row r="1652" spans="1:2" x14ac:dyDescent="0.25">
      <c r="A1652" t="s">
        <v>4268</v>
      </c>
      <c r="B1652">
        <v>198419</v>
      </c>
    </row>
    <row r="1653" spans="1:2" x14ac:dyDescent="0.25">
      <c r="A1653" t="s">
        <v>4269</v>
      </c>
      <c r="B1653">
        <v>175227</v>
      </c>
    </row>
    <row r="1654" spans="1:2" x14ac:dyDescent="0.25">
      <c r="A1654" t="s">
        <v>4270</v>
      </c>
      <c r="B1654">
        <v>212106</v>
      </c>
    </row>
    <row r="1655" spans="1:2" x14ac:dyDescent="0.25">
      <c r="A1655" t="s">
        <v>4271</v>
      </c>
      <c r="B1655">
        <v>495253</v>
      </c>
    </row>
    <row r="1656" spans="1:2" x14ac:dyDescent="0.25">
      <c r="A1656" t="s">
        <v>4272</v>
      </c>
      <c r="B1656">
        <v>198455</v>
      </c>
    </row>
    <row r="1657" spans="1:2" x14ac:dyDescent="0.25">
      <c r="A1657" t="s">
        <v>4273</v>
      </c>
      <c r="B1657">
        <v>431105</v>
      </c>
    </row>
    <row r="1658" spans="1:2" x14ac:dyDescent="0.25">
      <c r="A1658" t="s">
        <v>4274</v>
      </c>
      <c r="B1658">
        <v>190840</v>
      </c>
    </row>
    <row r="1659" spans="1:2" x14ac:dyDescent="0.25">
      <c r="A1659" t="s">
        <v>4275</v>
      </c>
      <c r="B1659">
        <v>458043</v>
      </c>
    </row>
    <row r="1660" spans="1:2" x14ac:dyDescent="0.25">
      <c r="A1660" t="s">
        <v>4276</v>
      </c>
      <c r="B1660">
        <v>220057</v>
      </c>
    </row>
    <row r="1661" spans="1:2" x14ac:dyDescent="0.25">
      <c r="A1661" t="s">
        <v>4277</v>
      </c>
      <c r="B1661">
        <v>190716</v>
      </c>
    </row>
    <row r="1662" spans="1:2" x14ac:dyDescent="0.25">
      <c r="A1662" t="s">
        <v>4278</v>
      </c>
      <c r="B1662">
        <v>154466</v>
      </c>
    </row>
    <row r="1663" spans="1:2" x14ac:dyDescent="0.25">
      <c r="A1663" t="s">
        <v>4279</v>
      </c>
      <c r="B1663">
        <v>488174</v>
      </c>
    </row>
    <row r="1664" spans="1:2" x14ac:dyDescent="0.25">
      <c r="A1664" t="s">
        <v>4280</v>
      </c>
      <c r="B1664">
        <v>496326</v>
      </c>
    </row>
    <row r="1665" spans="1:2" x14ac:dyDescent="0.25">
      <c r="A1665" t="s">
        <v>4281</v>
      </c>
      <c r="B1665">
        <v>447421</v>
      </c>
    </row>
    <row r="1666" spans="1:2" x14ac:dyDescent="0.25">
      <c r="A1666" t="s">
        <v>4282</v>
      </c>
      <c r="B1666">
        <v>230366</v>
      </c>
    </row>
    <row r="1667" spans="1:2" x14ac:dyDescent="0.25">
      <c r="A1667" t="s">
        <v>4283</v>
      </c>
      <c r="B1667">
        <v>150455</v>
      </c>
    </row>
    <row r="1668" spans="1:2" x14ac:dyDescent="0.25">
      <c r="A1668" t="s">
        <v>4284</v>
      </c>
      <c r="B1668">
        <v>106883</v>
      </c>
    </row>
    <row r="1669" spans="1:2" x14ac:dyDescent="0.25">
      <c r="A1669" t="s">
        <v>4285</v>
      </c>
      <c r="B1669">
        <v>198464</v>
      </c>
    </row>
    <row r="1670" spans="1:2" x14ac:dyDescent="0.25">
      <c r="A1670" t="s">
        <v>4286</v>
      </c>
      <c r="B1670">
        <v>177250</v>
      </c>
    </row>
    <row r="1671" spans="1:2" x14ac:dyDescent="0.25">
      <c r="A1671" t="s">
        <v>4287</v>
      </c>
      <c r="B1671">
        <v>175643</v>
      </c>
    </row>
    <row r="1672" spans="1:2" x14ac:dyDescent="0.25">
      <c r="A1672" t="s">
        <v>4288</v>
      </c>
      <c r="B1672">
        <v>207041</v>
      </c>
    </row>
    <row r="1673" spans="1:2" x14ac:dyDescent="0.25">
      <c r="A1673" t="s">
        <v>4289</v>
      </c>
      <c r="B1673">
        <v>139621</v>
      </c>
    </row>
    <row r="1674" spans="1:2" x14ac:dyDescent="0.25">
      <c r="A1674" t="s">
        <v>4290</v>
      </c>
      <c r="B1674">
        <v>113856</v>
      </c>
    </row>
    <row r="1675" spans="1:2" x14ac:dyDescent="0.25">
      <c r="A1675" t="s">
        <v>4291</v>
      </c>
      <c r="B1675">
        <v>175652</v>
      </c>
    </row>
    <row r="1676" spans="1:2" x14ac:dyDescent="0.25">
      <c r="A1676" t="s">
        <v>4292</v>
      </c>
      <c r="B1676">
        <v>204884</v>
      </c>
    </row>
    <row r="1677" spans="1:2" x14ac:dyDescent="0.25">
      <c r="A1677" t="s">
        <v>4293</v>
      </c>
      <c r="B1677">
        <v>212115</v>
      </c>
    </row>
    <row r="1678" spans="1:2" x14ac:dyDescent="0.25">
      <c r="A1678" t="s">
        <v>4294</v>
      </c>
      <c r="B1678">
        <v>220075</v>
      </c>
    </row>
    <row r="1679" spans="1:2" x14ac:dyDescent="0.25">
      <c r="A1679" t="s">
        <v>4295</v>
      </c>
      <c r="B1679">
        <v>224527</v>
      </c>
    </row>
    <row r="1680" spans="1:2" x14ac:dyDescent="0.25">
      <c r="A1680" t="s">
        <v>4296</v>
      </c>
      <c r="B1680">
        <v>441210</v>
      </c>
    </row>
    <row r="1681" spans="1:2" x14ac:dyDescent="0.25">
      <c r="A1681" t="s">
        <v>4297</v>
      </c>
      <c r="B1681">
        <v>439394</v>
      </c>
    </row>
    <row r="1682" spans="1:2" x14ac:dyDescent="0.25">
      <c r="A1682" t="s">
        <v>4298</v>
      </c>
      <c r="B1682">
        <v>208637</v>
      </c>
    </row>
    <row r="1683" spans="1:2" x14ac:dyDescent="0.25">
      <c r="A1683" t="s">
        <v>4299</v>
      </c>
      <c r="B1683">
        <v>104577</v>
      </c>
    </row>
    <row r="1684" spans="1:2" x14ac:dyDescent="0.25">
      <c r="A1684" t="s">
        <v>4300</v>
      </c>
      <c r="B1684">
        <v>375966</v>
      </c>
    </row>
    <row r="1685" spans="1:2" x14ac:dyDescent="0.25">
      <c r="A1685" t="s">
        <v>4301</v>
      </c>
      <c r="B1685">
        <v>106892</v>
      </c>
    </row>
    <row r="1686" spans="1:2" x14ac:dyDescent="0.25">
      <c r="A1686" t="s">
        <v>4302</v>
      </c>
      <c r="B1686">
        <v>364751</v>
      </c>
    </row>
    <row r="1687" spans="1:2" x14ac:dyDescent="0.25">
      <c r="A1687" t="s">
        <v>4303</v>
      </c>
      <c r="B1687">
        <v>129215</v>
      </c>
    </row>
    <row r="1688" spans="1:2" x14ac:dyDescent="0.25">
      <c r="A1688" t="s">
        <v>4304</v>
      </c>
      <c r="B1688">
        <v>132693</v>
      </c>
    </row>
    <row r="1689" spans="1:2" x14ac:dyDescent="0.25">
      <c r="A1689" t="s">
        <v>4305</v>
      </c>
      <c r="B1689">
        <v>203331</v>
      </c>
    </row>
    <row r="1690" spans="1:2" x14ac:dyDescent="0.25">
      <c r="A1690" t="s">
        <v>4306</v>
      </c>
      <c r="B1690">
        <v>144892</v>
      </c>
    </row>
    <row r="1691" spans="1:2" x14ac:dyDescent="0.25">
      <c r="A1691" t="s">
        <v>4307</v>
      </c>
      <c r="B1691">
        <v>448354</v>
      </c>
    </row>
    <row r="1692" spans="1:2" x14ac:dyDescent="0.25">
      <c r="A1692" t="s">
        <v>4308</v>
      </c>
      <c r="B1692">
        <v>421878</v>
      </c>
    </row>
    <row r="1693" spans="1:2" x14ac:dyDescent="0.25">
      <c r="A1693" t="s">
        <v>4309</v>
      </c>
      <c r="B1693">
        <v>153311</v>
      </c>
    </row>
    <row r="1694" spans="1:2" x14ac:dyDescent="0.25">
      <c r="A1694" t="s">
        <v>4310</v>
      </c>
      <c r="B1694">
        <v>156620</v>
      </c>
    </row>
    <row r="1695" spans="1:2" x14ac:dyDescent="0.25">
      <c r="A1695" t="s">
        <v>4311</v>
      </c>
      <c r="B1695">
        <v>161138</v>
      </c>
    </row>
    <row r="1696" spans="1:2" x14ac:dyDescent="0.25">
      <c r="A1696" t="s">
        <v>4312</v>
      </c>
      <c r="B1696">
        <v>232043</v>
      </c>
    </row>
    <row r="1697" spans="1:2" x14ac:dyDescent="0.25">
      <c r="A1697" t="s">
        <v>4313</v>
      </c>
      <c r="B1697">
        <v>169798</v>
      </c>
    </row>
    <row r="1698" spans="1:2" x14ac:dyDescent="0.25">
      <c r="A1698" t="s">
        <v>4314</v>
      </c>
      <c r="B1698">
        <v>165644</v>
      </c>
    </row>
    <row r="1699" spans="1:2" x14ac:dyDescent="0.25">
      <c r="A1699" t="s">
        <v>4315</v>
      </c>
      <c r="B1699">
        <v>383996</v>
      </c>
    </row>
    <row r="1700" spans="1:2" x14ac:dyDescent="0.25">
      <c r="A1700" t="s">
        <v>4316</v>
      </c>
      <c r="B1700">
        <v>187648</v>
      </c>
    </row>
    <row r="1701" spans="1:2" x14ac:dyDescent="0.25">
      <c r="A1701" t="s">
        <v>4317</v>
      </c>
      <c r="B1701">
        <v>187666</v>
      </c>
    </row>
    <row r="1702" spans="1:2" x14ac:dyDescent="0.25">
      <c r="A1702" t="s">
        <v>4318</v>
      </c>
      <c r="B1702">
        <v>418348</v>
      </c>
    </row>
    <row r="1703" spans="1:2" x14ac:dyDescent="0.25">
      <c r="A1703" t="s">
        <v>4319</v>
      </c>
      <c r="B1703">
        <v>207050</v>
      </c>
    </row>
    <row r="1704" spans="1:2" x14ac:dyDescent="0.25">
      <c r="A1704" t="s">
        <v>4320</v>
      </c>
      <c r="B1704">
        <v>208646</v>
      </c>
    </row>
    <row r="1705" spans="1:2" x14ac:dyDescent="0.25">
      <c r="A1705" t="s">
        <v>4321</v>
      </c>
      <c r="B1705">
        <v>446224</v>
      </c>
    </row>
    <row r="1706" spans="1:2" x14ac:dyDescent="0.25">
      <c r="A1706" t="s">
        <v>4322</v>
      </c>
      <c r="B1706">
        <v>232052</v>
      </c>
    </row>
    <row r="1707" spans="1:2" x14ac:dyDescent="0.25">
      <c r="A1707" t="s">
        <v>4323</v>
      </c>
      <c r="B1707">
        <v>418065</v>
      </c>
    </row>
    <row r="1708" spans="1:2" x14ac:dyDescent="0.25">
      <c r="A1708" t="s">
        <v>4323</v>
      </c>
      <c r="B1708">
        <v>486877</v>
      </c>
    </row>
    <row r="1709" spans="1:2" x14ac:dyDescent="0.25">
      <c r="A1709" t="s">
        <v>4323</v>
      </c>
      <c r="B1709">
        <v>486886</v>
      </c>
    </row>
    <row r="1710" spans="1:2" x14ac:dyDescent="0.25">
      <c r="A1710" t="s">
        <v>4324</v>
      </c>
      <c r="B1710">
        <v>212133</v>
      </c>
    </row>
    <row r="1711" spans="1:2" x14ac:dyDescent="0.25">
      <c r="A1711" t="s">
        <v>4325</v>
      </c>
      <c r="B1711">
        <v>441858</v>
      </c>
    </row>
    <row r="1712" spans="1:2" x14ac:dyDescent="0.25">
      <c r="A1712" t="s">
        <v>4326</v>
      </c>
      <c r="B1712">
        <v>231970</v>
      </c>
    </row>
    <row r="1713" spans="1:2" x14ac:dyDescent="0.25">
      <c r="A1713" t="s">
        <v>4327</v>
      </c>
      <c r="B1713">
        <v>235097</v>
      </c>
    </row>
    <row r="1714" spans="1:2" x14ac:dyDescent="0.25">
      <c r="A1714" t="s">
        <v>4328</v>
      </c>
      <c r="B1714">
        <v>438708</v>
      </c>
    </row>
    <row r="1715" spans="1:2" x14ac:dyDescent="0.25">
      <c r="A1715" t="s">
        <v>4329</v>
      </c>
      <c r="B1715">
        <v>240596</v>
      </c>
    </row>
    <row r="1716" spans="1:2" x14ac:dyDescent="0.25">
      <c r="A1716" t="s">
        <v>4330</v>
      </c>
      <c r="B1716">
        <v>407461</v>
      </c>
    </row>
    <row r="1717" spans="1:2" x14ac:dyDescent="0.25">
      <c r="A1717" t="s">
        <v>4331</v>
      </c>
      <c r="B1717">
        <v>483799</v>
      </c>
    </row>
    <row r="1718" spans="1:2" x14ac:dyDescent="0.25">
      <c r="A1718" t="s">
        <v>4332</v>
      </c>
      <c r="B1718">
        <v>144883</v>
      </c>
    </row>
    <row r="1719" spans="1:2" x14ac:dyDescent="0.25">
      <c r="A1719" t="s">
        <v>4333</v>
      </c>
      <c r="B1719">
        <v>183488</v>
      </c>
    </row>
    <row r="1720" spans="1:2" x14ac:dyDescent="0.25">
      <c r="A1720" t="s">
        <v>4334</v>
      </c>
      <c r="B1720">
        <v>185721</v>
      </c>
    </row>
    <row r="1721" spans="1:2" x14ac:dyDescent="0.25">
      <c r="A1721" t="s">
        <v>4335</v>
      </c>
      <c r="B1721">
        <v>184959</v>
      </c>
    </row>
    <row r="1722" spans="1:2" x14ac:dyDescent="0.25">
      <c r="A1722" t="s">
        <v>4336</v>
      </c>
      <c r="B1722">
        <v>446233</v>
      </c>
    </row>
    <row r="1723" spans="1:2" x14ac:dyDescent="0.25">
      <c r="A1723" t="s">
        <v>4337</v>
      </c>
      <c r="B1723">
        <v>133492</v>
      </c>
    </row>
    <row r="1724" spans="1:2" x14ac:dyDescent="0.25">
      <c r="A1724" t="s">
        <v>4338</v>
      </c>
      <c r="B1724">
        <v>248934</v>
      </c>
    </row>
    <row r="1725" spans="1:2" x14ac:dyDescent="0.25">
      <c r="A1725" t="s">
        <v>4339</v>
      </c>
      <c r="B1725">
        <v>247162</v>
      </c>
    </row>
    <row r="1726" spans="1:2" x14ac:dyDescent="0.25">
      <c r="A1726" t="s">
        <v>4340</v>
      </c>
      <c r="B1726">
        <v>177278</v>
      </c>
    </row>
    <row r="1727" spans="1:2" x14ac:dyDescent="0.25">
      <c r="A1727" t="s">
        <v>4341</v>
      </c>
      <c r="B1727">
        <v>198491</v>
      </c>
    </row>
    <row r="1728" spans="1:2" x14ac:dyDescent="0.25">
      <c r="A1728" t="s">
        <v>4342</v>
      </c>
      <c r="B1728">
        <v>238661</v>
      </c>
    </row>
    <row r="1729" spans="1:2" x14ac:dyDescent="0.25">
      <c r="A1729" t="s">
        <v>4343</v>
      </c>
      <c r="B1729">
        <v>376321</v>
      </c>
    </row>
    <row r="1730" spans="1:2" x14ac:dyDescent="0.25">
      <c r="A1730" t="s">
        <v>4344</v>
      </c>
      <c r="B1730">
        <v>212160</v>
      </c>
    </row>
    <row r="1731" spans="1:2" x14ac:dyDescent="0.25">
      <c r="A1731" t="s">
        <v>4345</v>
      </c>
      <c r="B1731">
        <v>202648</v>
      </c>
    </row>
    <row r="1732" spans="1:2" x14ac:dyDescent="0.25">
      <c r="A1732" t="s">
        <v>4346</v>
      </c>
      <c r="B1732">
        <v>235103</v>
      </c>
    </row>
    <row r="1733" spans="1:2" x14ac:dyDescent="0.25">
      <c r="A1733" t="s">
        <v>4347</v>
      </c>
      <c r="B1733">
        <v>457794</v>
      </c>
    </row>
    <row r="1734" spans="1:2" x14ac:dyDescent="0.25">
      <c r="A1734" t="s">
        <v>4348</v>
      </c>
      <c r="B1734">
        <v>243832</v>
      </c>
    </row>
    <row r="1735" spans="1:2" x14ac:dyDescent="0.25">
      <c r="A1735" t="s">
        <v>4349</v>
      </c>
      <c r="B1735">
        <v>241836</v>
      </c>
    </row>
    <row r="1736" spans="1:2" x14ac:dyDescent="0.25">
      <c r="A1736" t="s">
        <v>4350</v>
      </c>
      <c r="B1736">
        <v>494278</v>
      </c>
    </row>
    <row r="1737" spans="1:2" x14ac:dyDescent="0.25">
      <c r="A1737" t="s">
        <v>4351</v>
      </c>
      <c r="B1737">
        <v>494287</v>
      </c>
    </row>
    <row r="1738" spans="1:2" x14ac:dyDescent="0.25">
      <c r="A1738" t="s">
        <v>4352</v>
      </c>
      <c r="B1738">
        <v>492476</v>
      </c>
    </row>
    <row r="1739" spans="1:2" x14ac:dyDescent="0.25">
      <c r="A1739" t="s">
        <v>4353</v>
      </c>
      <c r="B1739">
        <v>494834</v>
      </c>
    </row>
    <row r="1740" spans="1:2" x14ac:dyDescent="0.25">
      <c r="A1740" t="s">
        <v>4354</v>
      </c>
      <c r="B1740">
        <v>240985</v>
      </c>
    </row>
    <row r="1741" spans="1:2" x14ac:dyDescent="0.25">
      <c r="A1741" t="s">
        <v>4355</v>
      </c>
      <c r="B1741">
        <v>448707</v>
      </c>
    </row>
    <row r="1742" spans="1:2" x14ac:dyDescent="0.25">
      <c r="A1742" t="s">
        <v>4356</v>
      </c>
      <c r="B1742">
        <v>146454</v>
      </c>
    </row>
    <row r="1743" spans="1:2" x14ac:dyDescent="0.25">
      <c r="A1743" t="s">
        <v>4357</v>
      </c>
      <c r="B1743">
        <v>260965</v>
      </c>
    </row>
    <row r="1744" spans="1:2" x14ac:dyDescent="0.25">
      <c r="A1744" t="s">
        <v>4358</v>
      </c>
      <c r="B1744">
        <v>149204</v>
      </c>
    </row>
    <row r="1745" spans="1:2" x14ac:dyDescent="0.25">
      <c r="A1745" t="s">
        <v>4359</v>
      </c>
      <c r="B1745">
        <v>490461</v>
      </c>
    </row>
    <row r="1746" spans="1:2" x14ac:dyDescent="0.25">
      <c r="A1746" t="s">
        <v>4360</v>
      </c>
      <c r="B1746">
        <v>442806</v>
      </c>
    </row>
    <row r="1747" spans="1:2" x14ac:dyDescent="0.25">
      <c r="A1747" t="s">
        <v>4361</v>
      </c>
      <c r="B1747">
        <v>133526</v>
      </c>
    </row>
    <row r="1748" spans="1:2" x14ac:dyDescent="0.25">
      <c r="A1748" t="s">
        <v>4362</v>
      </c>
      <c r="B1748">
        <v>202657</v>
      </c>
    </row>
    <row r="1749" spans="1:2" x14ac:dyDescent="0.25">
      <c r="A1749" t="s">
        <v>4363</v>
      </c>
      <c r="B1749">
        <v>410964</v>
      </c>
    </row>
    <row r="1750" spans="1:2" x14ac:dyDescent="0.25">
      <c r="A1750" t="s">
        <v>4364</v>
      </c>
      <c r="B1750">
        <v>113980</v>
      </c>
    </row>
    <row r="1751" spans="1:2" x14ac:dyDescent="0.25">
      <c r="A1751" t="s">
        <v>4365</v>
      </c>
      <c r="B1751">
        <v>224642</v>
      </c>
    </row>
    <row r="1752" spans="1:2" x14ac:dyDescent="0.25">
      <c r="A1752" t="s">
        <v>4366</v>
      </c>
      <c r="B1752">
        <v>476887</v>
      </c>
    </row>
    <row r="1753" spans="1:2" x14ac:dyDescent="0.25">
      <c r="A1753" t="s">
        <v>4367</v>
      </c>
      <c r="B1753">
        <v>483382</v>
      </c>
    </row>
    <row r="1754" spans="1:2" x14ac:dyDescent="0.25">
      <c r="A1754" t="s">
        <v>4368</v>
      </c>
      <c r="B1754">
        <v>451282</v>
      </c>
    </row>
    <row r="1755" spans="1:2" x14ac:dyDescent="0.25">
      <c r="A1755" t="s">
        <v>4368</v>
      </c>
      <c r="B1755">
        <v>494001</v>
      </c>
    </row>
    <row r="1756" spans="1:2" x14ac:dyDescent="0.25">
      <c r="A1756" t="s">
        <v>4369</v>
      </c>
      <c r="B1756">
        <v>479983</v>
      </c>
    </row>
    <row r="1757" spans="1:2" x14ac:dyDescent="0.25">
      <c r="A1757" t="s">
        <v>4370</v>
      </c>
      <c r="B1757">
        <v>144944</v>
      </c>
    </row>
    <row r="1758" spans="1:2" x14ac:dyDescent="0.25">
      <c r="A1758" t="s">
        <v>4371</v>
      </c>
      <c r="B1758">
        <v>488305</v>
      </c>
    </row>
    <row r="1759" spans="1:2" x14ac:dyDescent="0.25">
      <c r="A1759" t="s">
        <v>4372</v>
      </c>
      <c r="B1759">
        <v>492005</v>
      </c>
    </row>
    <row r="1760" spans="1:2" x14ac:dyDescent="0.25">
      <c r="A1760" t="s">
        <v>4373</v>
      </c>
      <c r="B1760">
        <v>451529</v>
      </c>
    </row>
    <row r="1761" spans="1:2" x14ac:dyDescent="0.25">
      <c r="A1761" t="s">
        <v>4374</v>
      </c>
      <c r="B1761">
        <v>461607</v>
      </c>
    </row>
    <row r="1762" spans="1:2" x14ac:dyDescent="0.25">
      <c r="A1762" t="s">
        <v>4375</v>
      </c>
      <c r="B1762">
        <v>490294</v>
      </c>
    </row>
    <row r="1763" spans="1:2" x14ac:dyDescent="0.25">
      <c r="A1763" t="s">
        <v>4376</v>
      </c>
      <c r="B1763">
        <v>461999</v>
      </c>
    </row>
    <row r="1764" spans="1:2" x14ac:dyDescent="0.25">
      <c r="A1764" t="s">
        <v>4377</v>
      </c>
      <c r="B1764">
        <v>495776</v>
      </c>
    </row>
    <row r="1765" spans="1:2" x14ac:dyDescent="0.25">
      <c r="A1765" t="s">
        <v>4378</v>
      </c>
      <c r="B1765">
        <v>452887</v>
      </c>
    </row>
    <row r="1766" spans="1:2" x14ac:dyDescent="0.25">
      <c r="A1766" t="s">
        <v>4379</v>
      </c>
      <c r="B1766">
        <v>496371</v>
      </c>
    </row>
    <row r="1767" spans="1:2" x14ac:dyDescent="0.25">
      <c r="A1767" t="s">
        <v>4380</v>
      </c>
      <c r="B1767">
        <v>198507</v>
      </c>
    </row>
    <row r="1768" spans="1:2" x14ac:dyDescent="0.25">
      <c r="A1768" t="s">
        <v>4381</v>
      </c>
      <c r="B1768">
        <v>362782</v>
      </c>
    </row>
    <row r="1769" spans="1:2" x14ac:dyDescent="0.25">
      <c r="A1769" t="s">
        <v>4382</v>
      </c>
      <c r="B1769">
        <v>212197</v>
      </c>
    </row>
    <row r="1770" spans="1:2" x14ac:dyDescent="0.25">
      <c r="A1770" t="s">
        <v>4383</v>
      </c>
      <c r="B1770">
        <v>156648</v>
      </c>
    </row>
    <row r="1771" spans="1:2" x14ac:dyDescent="0.25">
      <c r="A1771" t="s">
        <v>4384</v>
      </c>
      <c r="B1771">
        <v>153296</v>
      </c>
    </row>
    <row r="1772" spans="1:2" x14ac:dyDescent="0.25">
      <c r="A1772" t="s">
        <v>4385</v>
      </c>
      <c r="B1772">
        <v>486080</v>
      </c>
    </row>
    <row r="1773" spans="1:2" x14ac:dyDescent="0.25">
      <c r="A1773" t="s">
        <v>4386</v>
      </c>
      <c r="B1773">
        <v>144962</v>
      </c>
    </row>
    <row r="1774" spans="1:2" x14ac:dyDescent="0.25">
      <c r="A1774" t="s">
        <v>4387</v>
      </c>
      <c r="B1774">
        <v>190974</v>
      </c>
    </row>
    <row r="1775" spans="1:2" x14ac:dyDescent="0.25">
      <c r="A1775" t="s">
        <v>4388</v>
      </c>
      <c r="B1775">
        <v>190983</v>
      </c>
    </row>
    <row r="1776" spans="1:2" x14ac:dyDescent="0.25">
      <c r="A1776" t="s">
        <v>4389</v>
      </c>
      <c r="B1776">
        <v>198516</v>
      </c>
    </row>
    <row r="1777" spans="1:2" x14ac:dyDescent="0.25">
      <c r="A1777" t="s">
        <v>4390</v>
      </c>
      <c r="B1777">
        <v>490346</v>
      </c>
    </row>
    <row r="1778" spans="1:2" x14ac:dyDescent="0.25">
      <c r="A1778" t="s">
        <v>4391</v>
      </c>
      <c r="B1778">
        <v>133553</v>
      </c>
    </row>
    <row r="1779" spans="1:2" x14ac:dyDescent="0.25">
      <c r="A1779" t="s">
        <v>4392</v>
      </c>
      <c r="B1779">
        <v>104586</v>
      </c>
    </row>
    <row r="1780" spans="1:2" x14ac:dyDescent="0.25">
      <c r="A1780" t="s">
        <v>4393</v>
      </c>
      <c r="B1780">
        <v>426314</v>
      </c>
    </row>
    <row r="1781" spans="1:2" x14ac:dyDescent="0.25">
      <c r="A1781" t="s">
        <v>4394</v>
      </c>
      <c r="B1781">
        <v>457378</v>
      </c>
    </row>
    <row r="1782" spans="1:2" x14ac:dyDescent="0.25">
      <c r="A1782" t="s">
        <v>4395</v>
      </c>
      <c r="B1782">
        <v>165662</v>
      </c>
    </row>
    <row r="1783" spans="1:2" x14ac:dyDescent="0.25">
      <c r="A1783" t="s">
        <v>4396</v>
      </c>
      <c r="B1783">
        <v>127158</v>
      </c>
    </row>
    <row r="1784" spans="1:2" x14ac:dyDescent="0.25">
      <c r="A1784" t="s">
        <v>4397</v>
      </c>
      <c r="B1784">
        <v>139630</v>
      </c>
    </row>
    <row r="1785" spans="1:2" x14ac:dyDescent="0.25">
      <c r="A1785" t="s">
        <v>4397</v>
      </c>
      <c r="B1785">
        <v>165671</v>
      </c>
    </row>
    <row r="1786" spans="1:2" x14ac:dyDescent="0.25">
      <c r="A1786" t="s">
        <v>4398</v>
      </c>
      <c r="B1786">
        <v>404684</v>
      </c>
    </row>
    <row r="1787" spans="1:2" x14ac:dyDescent="0.25">
      <c r="A1787" t="s">
        <v>4399</v>
      </c>
      <c r="B1787">
        <v>241906</v>
      </c>
    </row>
    <row r="1788" spans="1:2" x14ac:dyDescent="0.25">
      <c r="A1788" t="s">
        <v>4400</v>
      </c>
      <c r="B1788">
        <v>153302</v>
      </c>
    </row>
    <row r="1789" spans="1:2" x14ac:dyDescent="0.25">
      <c r="A1789" t="s">
        <v>4401</v>
      </c>
      <c r="B1789">
        <v>232025</v>
      </c>
    </row>
    <row r="1790" spans="1:2" x14ac:dyDescent="0.25">
      <c r="A1790" t="s">
        <v>4402</v>
      </c>
      <c r="B1790">
        <v>139658</v>
      </c>
    </row>
    <row r="1791" spans="1:2" x14ac:dyDescent="0.25">
      <c r="A1791" t="s">
        <v>4403</v>
      </c>
      <c r="B1791">
        <v>487092</v>
      </c>
    </row>
    <row r="1792" spans="1:2" x14ac:dyDescent="0.25">
      <c r="A1792" t="s">
        <v>4404</v>
      </c>
      <c r="B1792">
        <v>114114</v>
      </c>
    </row>
    <row r="1793" spans="1:2" x14ac:dyDescent="0.25">
      <c r="A1793" t="s">
        <v>4405</v>
      </c>
      <c r="B1793">
        <v>212328</v>
      </c>
    </row>
    <row r="1794" spans="1:2" x14ac:dyDescent="0.25">
      <c r="A1794" t="s">
        <v>4406</v>
      </c>
      <c r="B1794">
        <v>481678</v>
      </c>
    </row>
    <row r="1795" spans="1:2" x14ac:dyDescent="0.25">
      <c r="A1795" t="s">
        <v>4407</v>
      </c>
      <c r="B1795">
        <v>447175</v>
      </c>
    </row>
    <row r="1796" spans="1:2" x14ac:dyDescent="0.25">
      <c r="A1796" t="s">
        <v>4408</v>
      </c>
      <c r="B1796">
        <v>447148</v>
      </c>
    </row>
    <row r="1797" spans="1:2" x14ac:dyDescent="0.25">
      <c r="A1797" t="s">
        <v>4409</v>
      </c>
      <c r="B1797">
        <v>368230</v>
      </c>
    </row>
    <row r="1798" spans="1:2" x14ac:dyDescent="0.25">
      <c r="A1798" t="s">
        <v>4410</v>
      </c>
      <c r="B1798">
        <v>174978</v>
      </c>
    </row>
    <row r="1799" spans="1:2" x14ac:dyDescent="0.25">
      <c r="A1799" t="s">
        <v>4411</v>
      </c>
      <c r="B1799">
        <v>430218</v>
      </c>
    </row>
    <row r="1800" spans="1:2" x14ac:dyDescent="0.25">
      <c r="A1800" t="s">
        <v>4412</v>
      </c>
      <c r="B1800">
        <v>164845</v>
      </c>
    </row>
    <row r="1801" spans="1:2" x14ac:dyDescent="0.25">
      <c r="A1801" t="s">
        <v>4413</v>
      </c>
      <c r="B1801">
        <v>383765</v>
      </c>
    </row>
    <row r="1802" spans="1:2" x14ac:dyDescent="0.25">
      <c r="A1802" t="s">
        <v>4414</v>
      </c>
      <c r="B1802">
        <v>485014</v>
      </c>
    </row>
    <row r="1803" spans="1:2" x14ac:dyDescent="0.25">
      <c r="A1803" t="s">
        <v>4415</v>
      </c>
      <c r="B1803">
        <v>375984</v>
      </c>
    </row>
    <row r="1804" spans="1:2" x14ac:dyDescent="0.25">
      <c r="A1804" t="s">
        <v>4416</v>
      </c>
      <c r="B1804">
        <v>104443</v>
      </c>
    </row>
    <row r="1805" spans="1:2" x14ac:dyDescent="0.25">
      <c r="A1805" t="s">
        <v>4417</v>
      </c>
      <c r="B1805">
        <v>459019</v>
      </c>
    </row>
    <row r="1806" spans="1:2" x14ac:dyDescent="0.25">
      <c r="A1806" t="s">
        <v>4418</v>
      </c>
      <c r="B1806">
        <v>485397</v>
      </c>
    </row>
    <row r="1807" spans="1:2" x14ac:dyDescent="0.25">
      <c r="A1807" t="s">
        <v>4419</v>
      </c>
      <c r="B1807">
        <v>157614</v>
      </c>
    </row>
    <row r="1808" spans="1:2" x14ac:dyDescent="0.25">
      <c r="A1808" t="s">
        <v>4420</v>
      </c>
      <c r="B1808">
        <v>184816</v>
      </c>
    </row>
    <row r="1809" spans="1:2" x14ac:dyDescent="0.25">
      <c r="A1809" t="s">
        <v>4421</v>
      </c>
      <c r="B1809">
        <v>407470</v>
      </c>
    </row>
    <row r="1810" spans="1:2" x14ac:dyDescent="0.25">
      <c r="A1810" t="s">
        <v>4422</v>
      </c>
      <c r="B1810">
        <v>450614</v>
      </c>
    </row>
    <row r="1811" spans="1:2" x14ac:dyDescent="0.25">
      <c r="A1811" t="s">
        <v>4423</v>
      </c>
      <c r="B1811">
        <v>157669</v>
      </c>
    </row>
    <row r="1812" spans="1:2" x14ac:dyDescent="0.25">
      <c r="A1812" t="s">
        <v>4424</v>
      </c>
      <c r="B1812">
        <v>458803</v>
      </c>
    </row>
    <row r="1813" spans="1:2" x14ac:dyDescent="0.25">
      <c r="A1813" t="s">
        <v>4425</v>
      </c>
      <c r="B1813">
        <v>157650</v>
      </c>
    </row>
    <row r="1814" spans="1:2" x14ac:dyDescent="0.25">
      <c r="A1814" t="s">
        <v>4426</v>
      </c>
      <c r="B1814">
        <v>157678</v>
      </c>
    </row>
    <row r="1815" spans="1:2" x14ac:dyDescent="0.25">
      <c r="A1815" t="s">
        <v>4427</v>
      </c>
      <c r="B1815">
        <v>480310</v>
      </c>
    </row>
    <row r="1816" spans="1:2" x14ac:dyDescent="0.25">
      <c r="A1816" t="s">
        <v>4428</v>
      </c>
      <c r="B1816">
        <v>407735</v>
      </c>
    </row>
    <row r="1817" spans="1:2" x14ac:dyDescent="0.25">
      <c r="A1817" t="s">
        <v>4429</v>
      </c>
      <c r="B1817">
        <v>212337</v>
      </c>
    </row>
    <row r="1818" spans="1:2" x14ac:dyDescent="0.25">
      <c r="A1818" t="s">
        <v>4430</v>
      </c>
      <c r="B1818">
        <v>415039</v>
      </c>
    </row>
    <row r="1819" spans="1:2" x14ac:dyDescent="0.25">
      <c r="A1819" t="s">
        <v>4431</v>
      </c>
      <c r="B1819">
        <v>212382</v>
      </c>
    </row>
    <row r="1820" spans="1:2" x14ac:dyDescent="0.25">
      <c r="A1820" t="s">
        <v>4432</v>
      </c>
      <c r="B1820">
        <v>450641</v>
      </c>
    </row>
    <row r="1821" spans="1:2" x14ac:dyDescent="0.25">
      <c r="A1821" t="s">
        <v>4433</v>
      </c>
      <c r="B1821">
        <v>151652</v>
      </c>
    </row>
    <row r="1822" spans="1:2" x14ac:dyDescent="0.25">
      <c r="A1822" t="s">
        <v>4434</v>
      </c>
      <c r="B1822">
        <v>458821</v>
      </c>
    </row>
    <row r="1823" spans="1:2" x14ac:dyDescent="0.25">
      <c r="A1823" t="s">
        <v>4435</v>
      </c>
      <c r="B1823">
        <v>440101</v>
      </c>
    </row>
    <row r="1824" spans="1:2" x14ac:dyDescent="0.25">
      <c r="A1824" t="s">
        <v>4436</v>
      </c>
      <c r="B1824">
        <v>182704</v>
      </c>
    </row>
    <row r="1825" spans="1:2" x14ac:dyDescent="0.25">
      <c r="A1825" t="s">
        <v>4437</v>
      </c>
      <c r="B1825">
        <v>491145</v>
      </c>
    </row>
    <row r="1826" spans="1:2" x14ac:dyDescent="0.25">
      <c r="A1826" t="s">
        <v>4438</v>
      </c>
      <c r="B1826">
        <v>212276</v>
      </c>
    </row>
    <row r="1827" spans="1:2" x14ac:dyDescent="0.25">
      <c r="A1827" t="s">
        <v>4439</v>
      </c>
      <c r="B1827">
        <v>212230</v>
      </c>
    </row>
    <row r="1828" spans="1:2" x14ac:dyDescent="0.25">
      <c r="A1828" t="s">
        <v>4440</v>
      </c>
      <c r="B1828">
        <v>447166</v>
      </c>
    </row>
    <row r="1829" spans="1:2" x14ac:dyDescent="0.25">
      <c r="A1829" t="s">
        <v>4441</v>
      </c>
      <c r="B1829">
        <v>161493</v>
      </c>
    </row>
    <row r="1830" spans="1:2" x14ac:dyDescent="0.25">
      <c r="A1830" t="s">
        <v>4442</v>
      </c>
      <c r="B1830">
        <v>407179</v>
      </c>
    </row>
    <row r="1831" spans="1:2" x14ac:dyDescent="0.25">
      <c r="A1831" t="s">
        <v>4443</v>
      </c>
      <c r="B1831">
        <v>195067</v>
      </c>
    </row>
    <row r="1832" spans="1:2" x14ac:dyDescent="0.25">
      <c r="A1832" t="s">
        <v>4444</v>
      </c>
      <c r="B1832">
        <v>169284</v>
      </c>
    </row>
    <row r="1833" spans="1:2" x14ac:dyDescent="0.25">
      <c r="A1833" t="s">
        <v>4445</v>
      </c>
      <c r="B1833">
        <v>444282</v>
      </c>
    </row>
    <row r="1834" spans="1:2" x14ac:dyDescent="0.25">
      <c r="A1834" t="s">
        <v>4446</v>
      </c>
      <c r="B1834">
        <v>448798</v>
      </c>
    </row>
    <row r="1835" spans="1:2" x14ac:dyDescent="0.25">
      <c r="A1835" t="s">
        <v>4447</v>
      </c>
      <c r="B1835">
        <v>430227</v>
      </c>
    </row>
    <row r="1836" spans="1:2" x14ac:dyDescent="0.25">
      <c r="A1836" t="s">
        <v>4448</v>
      </c>
      <c r="B1836">
        <v>458867</v>
      </c>
    </row>
    <row r="1837" spans="1:2" x14ac:dyDescent="0.25">
      <c r="A1837" t="s">
        <v>4449</v>
      </c>
      <c r="B1837">
        <v>458812</v>
      </c>
    </row>
    <row r="1838" spans="1:2" x14ac:dyDescent="0.25">
      <c r="A1838" t="s">
        <v>4450</v>
      </c>
      <c r="B1838">
        <v>212753</v>
      </c>
    </row>
    <row r="1839" spans="1:2" x14ac:dyDescent="0.25">
      <c r="A1839" t="s">
        <v>4451</v>
      </c>
      <c r="B1839">
        <v>495518</v>
      </c>
    </row>
    <row r="1840" spans="1:2" x14ac:dyDescent="0.25">
      <c r="A1840" t="s">
        <v>4452</v>
      </c>
      <c r="B1840">
        <v>450605</v>
      </c>
    </row>
    <row r="1841" spans="1:2" x14ac:dyDescent="0.25">
      <c r="A1841" t="s">
        <v>4453</v>
      </c>
      <c r="B1841">
        <v>486691</v>
      </c>
    </row>
    <row r="1842" spans="1:2" x14ac:dyDescent="0.25">
      <c r="A1842" t="s">
        <v>4454</v>
      </c>
      <c r="B1842">
        <v>106111</v>
      </c>
    </row>
    <row r="1843" spans="1:2" x14ac:dyDescent="0.25">
      <c r="A1843" t="s">
        <v>4455</v>
      </c>
      <c r="B1843">
        <v>444291</v>
      </c>
    </row>
    <row r="1844" spans="1:2" x14ac:dyDescent="0.25">
      <c r="A1844" t="s">
        <v>4456</v>
      </c>
      <c r="B1844">
        <v>193991</v>
      </c>
    </row>
    <row r="1845" spans="1:2" x14ac:dyDescent="0.25">
      <c r="A1845" t="s">
        <v>4457</v>
      </c>
      <c r="B1845">
        <v>459064</v>
      </c>
    </row>
    <row r="1846" spans="1:2" x14ac:dyDescent="0.25">
      <c r="A1846" t="s">
        <v>4458</v>
      </c>
      <c r="B1846">
        <v>212300</v>
      </c>
    </row>
    <row r="1847" spans="1:2" x14ac:dyDescent="0.25">
      <c r="A1847" t="s">
        <v>4459</v>
      </c>
      <c r="B1847">
        <v>190239</v>
      </c>
    </row>
    <row r="1848" spans="1:2" x14ac:dyDescent="0.25">
      <c r="A1848" t="s">
        <v>4460</v>
      </c>
      <c r="B1848">
        <v>212391</v>
      </c>
    </row>
    <row r="1849" spans="1:2" x14ac:dyDescent="0.25">
      <c r="A1849" t="s">
        <v>4461</v>
      </c>
      <c r="B1849">
        <v>450599</v>
      </c>
    </row>
    <row r="1850" spans="1:2" x14ac:dyDescent="0.25">
      <c r="A1850" t="s">
        <v>4462</v>
      </c>
      <c r="B1850">
        <v>481845</v>
      </c>
    </row>
    <row r="1851" spans="1:2" x14ac:dyDescent="0.25">
      <c r="A1851" t="s">
        <v>4463</v>
      </c>
      <c r="B1851">
        <v>459000</v>
      </c>
    </row>
    <row r="1852" spans="1:2" x14ac:dyDescent="0.25">
      <c r="A1852" t="s">
        <v>4464</v>
      </c>
      <c r="B1852">
        <v>478582</v>
      </c>
    </row>
    <row r="1853" spans="1:2" x14ac:dyDescent="0.25">
      <c r="A1853" t="s">
        <v>4465</v>
      </c>
      <c r="B1853">
        <v>212294</v>
      </c>
    </row>
    <row r="1854" spans="1:2" x14ac:dyDescent="0.25">
      <c r="A1854" t="s">
        <v>4466</v>
      </c>
      <c r="B1854">
        <v>182722</v>
      </c>
    </row>
    <row r="1855" spans="1:2" x14ac:dyDescent="0.25">
      <c r="A1855" t="s">
        <v>4467</v>
      </c>
      <c r="B1855">
        <v>458858</v>
      </c>
    </row>
    <row r="1856" spans="1:2" x14ac:dyDescent="0.25">
      <c r="A1856" t="s">
        <v>4468</v>
      </c>
      <c r="B1856">
        <v>456135</v>
      </c>
    </row>
    <row r="1857" spans="1:2" x14ac:dyDescent="0.25">
      <c r="A1857" t="s">
        <v>4469</v>
      </c>
      <c r="B1857">
        <v>458830</v>
      </c>
    </row>
    <row r="1858" spans="1:2" x14ac:dyDescent="0.25">
      <c r="A1858" t="s">
        <v>4470</v>
      </c>
      <c r="B1858">
        <v>481748</v>
      </c>
    </row>
    <row r="1859" spans="1:2" x14ac:dyDescent="0.25">
      <c r="A1859" t="s">
        <v>4471</v>
      </c>
      <c r="B1859">
        <v>491136</v>
      </c>
    </row>
    <row r="1860" spans="1:2" x14ac:dyDescent="0.25">
      <c r="A1860" t="s">
        <v>4472</v>
      </c>
      <c r="B1860">
        <v>128337</v>
      </c>
    </row>
    <row r="1861" spans="1:2" x14ac:dyDescent="0.25">
      <c r="A1861" t="s">
        <v>4473</v>
      </c>
      <c r="B1861">
        <v>103741</v>
      </c>
    </row>
    <row r="1862" spans="1:2" x14ac:dyDescent="0.25">
      <c r="A1862" t="s">
        <v>4474</v>
      </c>
      <c r="B1862">
        <v>184506</v>
      </c>
    </row>
    <row r="1863" spans="1:2" x14ac:dyDescent="0.25">
      <c r="A1863" t="s">
        <v>4475</v>
      </c>
      <c r="B1863">
        <v>481739</v>
      </c>
    </row>
    <row r="1864" spans="1:2" x14ac:dyDescent="0.25">
      <c r="A1864" t="s">
        <v>4476</v>
      </c>
      <c r="B1864">
        <v>476179</v>
      </c>
    </row>
    <row r="1865" spans="1:2" x14ac:dyDescent="0.25">
      <c r="A1865" t="s">
        <v>4477</v>
      </c>
      <c r="B1865">
        <v>217581</v>
      </c>
    </row>
    <row r="1866" spans="1:2" x14ac:dyDescent="0.25">
      <c r="A1866" t="s">
        <v>4478</v>
      </c>
      <c r="B1866">
        <v>478616</v>
      </c>
    </row>
    <row r="1867" spans="1:2" x14ac:dyDescent="0.25">
      <c r="A1867" t="s">
        <v>4479</v>
      </c>
      <c r="B1867">
        <v>444307</v>
      </c>
    </row>
    <row r="1868" spans="1:2" x14ac:dyDescent="0.25">
      <c r="A1868" t="s">
        <v>4480</v>
      </c>
      <c r="B1868">
        <v>459055</v>
      </c>
    </row>
    <row r="1869" spans="1:2" x14ac:dyDescent="0.25">
      <c r="A1869" t="s">
        <v>4481</v>
      </c>
      <c r="B1869">
        <v>459046</v>
      </c>
    </row>
    <row r="1870" spans="1:2" x14ac:dyDescent="0.25">
      <c r="A1870" t="s">
        <v>4482</v>
      </c>
      <c r="B1870">
        <v>212355</v>
      </c>
    </row>
    <row r="1871" spans="1:2" x14ac:dyDescent="0.25">
      <c r="A1871" t="s">
        <v>4483</v>
      </c>
      <c r="B1871">
        <v>212267</v>
      </c>
    </row>
    <row r="1872" spans="1:2" x14ac:dyDescent="0.25">
      <c r="A1872" t="s">
        <v>4484</v>
      </c>
      <c r="B1872">
        <v>114123</v>
      </c>
    </row>
    <row r="1873" spans="1:2" x14ac:dyDescent="0.25">
      <c r="A1873" t="s">
        <v>4485</v>
      </c>
      <c r="B1873">
        <v>446242</v>
      </c>
    </row>
    <row r="1874" spans="1:2" x14ac:dyDescent="0.25">
      <c r="A1874" t="s">
        <v>4486</v>
      </c>
      <c r="B1874">
        <v>155025</v>
      </c>
    </row>
    <row r="1875" spans="1:2" x14ac:dyDescent="0.25">
      <c r="A1875" t="s">
        <v>4487</v>
      </c>
      <c r="B1875">
        <v>165699</v>
      </c>
    </row>
    <row r="1876" spans="1:2" x14ac:dyDescent="0.25">
      <c r="A1876" t="s">
        <v>4488</v>
      </c>
      <c r="B1876">
        <v>207087</v>
      </c>
    </row>
    <row r="1877" spans="1:2" x14ac:dyDescent="0.25">
      <c r="A1877" t="s">
        <v>4489</v>
      </c>
      <c r="B1877">
        <v>230418</v>
      </c>
    </row>
    <row r="1878" spans="1:2" x14ac:dyDescent="0.25">
      <c r="A1878" t="s">
        <v>4490</v>
      </c>
      <c r="B1878">
        <v>101143</v>
      </c>
    </row>
    <row r="1879" spans="1:2" x14ac:dyDescent="0.25">
      <c r="A1879" t="s">
        <v>4491</v>
      </c>
      <c r="B1879">
        <v>124487</v>
      </c>
    </row>
    <row r="1880" spans="1:2" x14ac:dyDescent="0.25">
      <c r="A1880" t="s">
        <v>4492</v>
      </c>
      <c r="B1880">
        <v>224712</v>
      </c>
    </row>
    <row r="1881" spans="1:2" x14ac:dyDescent="0.25">
      <c r="A1881" t="s">
        <v>4493</v>
      </c>
      <c r="B1881">
        <v>457581</v>
      </c>
    </row>
    <row r="1882" spans="1:2" x14ac:dyDescent="0.25">
      <c r="A1882" t="s">
        <v>4494</v>
      </c>
      <c r="B1882">
        <v>439622</v>
      </c>
    </row>
    <row r="1883" spans="1:2" x14ac:dyDescent="0.25">
      <c r="A1883" t="s">
        <v>4495</v>
      </c>
      <c r="B1883">
        <v>383525</v>
      </c>
    </row>
    <row r="1884" spans="1:2" x14ac:dyDescent="0.25">
      <c r="A1884" t="s">
        <v>4496</v>
      </c>
      <c r="B1884">
        <v>191083</v>
      </c>
    </row>
    <row r="1885" spans="1:2" x14ac:dyDescent="0.25">
      <c r="A1885" t="s">
        <v>4497</v>
      </c>
      <c r="B1885">
        <v>212434</v>
      </c>
    </row>
    <row r="1886" spans="1:2" x14ac:dyDescent="0.25">
      <c r="A1886" t="s">
        <v>4498</v>
      </c>
      <c r="B1886">
        <v>409254</v>
      </c>
    </row>
    <row r="1887" spans="1:2" x14ac:dyDescent="0.25">
      <c r="A1887" t="s">
        <v>4499</v>
      </c>
      <c r="B1887">
        <v>217998</v>
      </c>
    </row>
    <row r="1888" spans="1:2" x14ac:dyDescent="0.25">
      <c r="A1888" t="s">
        <v>4500</v>
      </c>
      <c r="B1888">
        <v>369419</v>
      </c>
    </row>
    <row r="1889" spans="1:2" x14ac:dyDescent="0.25">
      <c r="A1889" t="s">
        <v>4501</v>
      </c>
      <c r="B1889">
        <v>492306</v>
      </c>
    </row>
    <row r="1890" spans="1:2" x14ac:dyDescent="0.25">
      <c r="A1890" t="s">
        <v>4502</v>
      </c>
      <c r="B1890">
        <v>241951</v>
      </c>
    </row>
    <row r="1891" spans="1:2" x14ac:dyDescent="0.25">
      <c r="A1891" t="s">
        <v>4503</v>
      </c>
      <c r="B1891">
        <v>420255</v>
      </c>
    </row>
    <row r="1892" spans="1:2" x14ac:dyDescent="0.25">
      <c r="A1892" t="s">
        <v>4504</v>
      </c>
      <c r="B1892">
        <v>452106</v>
      </c>
    </row>
    <row r="1893" spans="1:2" x14ac:dyDescent="0.25">
      <c r="A1893" t="s">
        <v>4505</v>
      </c>
      <c r="B1893">
        <v>444583</v>
      </c>
    </row>
    <row r="1894" spans="1:2" x14ac:dyDescent="0.25">
      <c r="A1894" t="s">
        <v>4506</v>
      </c>
      <c r="B1894">
        <v>431123</v>
      </c>
    </row>
    <row r="1895" spans="1:2" x14ac:dyDescent="0.25">
      <c r="A1895" t="s">
        <v>4507</v>
      </c>
      <c r="B1895">
        <v>184481</v>
      </c>
    </row>
    <row r="1896" spans="1:2" x14ac:dyDescent="0.25">
      <c r="A1896" t="s">
        <v>4508</v>
      </c>
      <c r="B1896">
        <v>494649</v>
      </c>
    </row>
    <row r="1897" spans="1:2" x14ac:dyDescent="0.25">
      <c r="A1897" t="s">
        <v>4509</v>
      </c>
      <c r="B1897">
        <v>446251</v>
      </c>
    </row>
    <row r="1898" spans="1:2" x14ac:dyDescent="0.25">
      <c r="A1898" t="s">
        <v>4510</v>
      </c>
      <c r="B1898">
        <v>461582</v>
      </c>
    </row>
    <row r="1899" spans="1:2" x14ac:dyDescent="0.25">
      <c r="A1899" t="s">
        <v>4511</v>
      </c>
      <c r="B1899">
        <v>417062</v>
      </c>
    </row>
    <row r="1900" spans="1:2" x14ac:dyDescent="0.25">
      <c r="A1900" t="s">
        <v>4512</v>
      </c>
      <c r="B1900">
        <v>384333</v>
      </c>
    </row>
    <row r="1901" spans="1:2" x14ac:dyDescent="0.25">
      <c r="A1901" t="s">
        <v>4513</v>
      </c>
      <c r="B1901">
        <v>244613</v>
      </c>
    </row>
    <row r="1902" spans="1:2" x14ac:dyDescent="0.25">
      <c r="A1902" t="s">
        <v>4514</v>
      </c>
      <c r="B1902">
        <v>200590</v>
      </c>
    </row>
    <row r="1903" spans="1:2" x14ac:dyDescent="0.25">
      <c r="A1903" t="s">
        <v>4515</v>
      </c>
      <c r="B1903">
        <v>450720</v>
      </c>
    </row>
    <row r="1904" spans="1:2" x14ac:dyDescent="0.25">
      <c r="A1904" t="s">
        <v>4516</v>
      </c>
      <c r="B1904">
        <v>144971</v>
      </c>
    </row>
    <row r="1905" spans="1:2" x14ac:dyDescent="0.25">
      <c r="A1905" t="s">
        <v>4517</v>
      </c>
      <c r="B1905">
        <v>458423</v>
      </c>
    </row>
    <row r="1906" spans="1:2" x14ac:dyDescent="0.25">
      <c r="A1906" t="s">
        <v>4518</v>
      </c>
      <c r="B1906">
        <v>491598</v>
      </c>
    </row>
    <row r="1907" spans="1:2" x14ac:dyDescent="0.25">
      <c r="A1907" t="s">
        <v>4519</v>
      </c>
      <c r="B1907">
        <v>177339</v>
      </c>
    </row>
    <row r="1908" spans="1:2" x14ac:dyDescent="0.25">
      <c r="A1908" t="s">
        <v>4520</v>
      </c>
      <c r="B1908">
        <v>212443</v>
      </c>
    </row>
    <row r="1909" spans="1:2" x14ac:dyDescent="0.25">
      <c r="A1909" t="s">
        <v>4521</v>
      </c>
      <c r="B1909">
        <v>230199</v>
      </c>
    </row>
    <row r="1910" spans="1:2" x14ac:dyDescent="0.25">
      <c r="A1910" t="s">
        <v>4522</v>
      </c>
      <c r="B1910">
        <v>454935</v>
      </c>
    </row>
    <row r="1911" spans="1:2" x14ac:dyDescent="0.25">
      <c r="A1911" t="s">
        <v>4523</v>
      </c>
      <c r="B1911">
        <v>230205</v>
      </c>
    </row>
    <row r="1912" spans="1:2" x14ac:dyDescent="0.25">
      <c r="A1912" t="s">
        <v>4524</v>
      </c>
      <c r="B1912">
        <v>235149</v>
      </c>
    </row>
    <row r="1913" spans="1:2" x14ac:dyDescent="0.25">
      <c r="A1913" t="s">
        <v>4525</v>
      </c>
      <c r="B1913">
        <v>385619</v>
      </c>
    </row>
    <row r="1914" spans="1:2" x14ac:dyDescent="0.25">
      <c r="A1914" t="s">
        <v>4526</v>
      </c>
      <c r="B1914">
        <v>446260</v>
      </c>
    </row>
    <row r="1915" spans="1:2" x14ac:dyDescent="0.25">
      <c r="A1915" t="s">
        <v>4527</v>
      </c>
      <c r="B1915">
        <v>114266</v>
      </c>
    </row>
    <row r="1916" spans="1:2" x14ac:dyDescent="0.25">
      <c r="A1916" t="s">
        <v>4528</v>
      </c>
      <c r="B1916">
        <v>207102</v>
      </c>
    </row>
    <row r="1917" spans="1:2" x14ac:dyDescent="0.25">
      <c r="A1917" t="s">
        <v>4529</v>
      </c>
      <c r="B1917">
        <v>461537</v>
      </c>
    </row>
    <row r="1918" spans="1:2" x14ac:dyDescent="0.25">
      <c r="A1918" t="s">
        <v>4530</v>
      </c>
      <c r="B1918">
        <v>494472</v>
      </c>
    </row>
    <row r="1919" spans="1:2" x14ac:dyDescent="0.25">
      <c r="A1919" t="s">
        <v>4531</v>
      </c>
      <c r="B1919">
        <v>196680</v>
      </c>
    </row>
    <row r="1920" spans="1:2" x14ac:dyDescent="0.25">
      <c r="A1920" t="s">
        <v>4532</v>
      </c>
      <c r="B1920">
        <v>224758</v>
      </c>
    </row>
    <row r="1921" spans="1:2" x14ac:dyDescent="0.25">
      <c r="A1921" t="s">
        <v>4533</v>
      </c>
      <c r="B1921">
        <v>460376</v>
      </c>
    </row>
    <row r="1922" spans="1:2" x14ac:dyDescent="0.25">
      <c r="A1922" t="s">
        <v>4534</v>
      </c>
      <c r="B1922">
        <v>129242</v>
      </c>
    </row>
    <row r="1923" spans="1:2" x14ac:dyDescent="0.25">
      <c r="A1923" t="s">
        <v>4535</v>
      </c>
      <c r="B1923">
        <v>184694</v>
      </c>
    </row>
    <row r="1924" spans="1:2" x14ac:dyDescent="0.25">
      <c r="A1924" t="s">
        <v>4536</v>
      </c>
      <c r="B1924">
        <v>184603</v>
      </c>
    </row>
    <row r="1925" spans="1:2" x14ac:dyDescent="0.25">
      <c r="A1925" t="s">
        <v>4537</v>
      </c>
      <c r="B1925">
        <v>237367</v>
      </c>
    </row>
    <row r="1926" spans="1:2" x14ac:dyDescent="0.25">
      <c r="A1926" t="s">
        <v>4538</v>
      </c>
      <c r="B1926">
        <v>153320</v>
      </c>
    </row>
    <row r="1927" spans="1:2" x14ac:dyDescent="0.25">
      <c r="A1927" t="s">
        <v>4539</v>
      </c>
      <c r="B1927">
        <v>443049</v>
      </c>
    </row>
    <row r="1928" spans="1:2" x14ac:dyDescent="0.25">
      <c r="A1928" t="s">
        <v>4540</v>
      </c>
      <c r="B1928">
        <v>494597</v>
      </c>
    </row>
    <row r="1929" spans="1:2" x14ac:dyDescent="0.25">
      <c r="A1929" t="s">
        <v>4541</v>
      </c>
      <c r="B1929">
        <v>493813</v>
      </c>
    </row>
    <row r="1930" spans="1:2" x14ac:dyDescent="0.25">
      <c r="A1930" t="s">
        <v>4542</v>
      </c>
      <c r="B1930">
        <v>443058</v>
      </c>
    </row>
    <row r="1931" spans="1:2" x14ac:dyDescent="0.25">
      <c r="A1931" t="s">
        <v>4543</v>
      </c>
      <c r="B1931">
        <v>196042</v>
      </c>
    </row>
    <row r="1932" spans="1:2" x14ac:dyDescent="0.25">
      <c r="A1932" t="s">
        <v>4544</v>
      </c>
      <c r="B1932">
        <v>191126</v>
      </c>
    </row>
    <row r="1933" spans="1:2" x14ac:dyDescent="0.25">
      <c r="A1933" t="s">
        <v>4545</v>
      </c>
      <c r="B1933">
        <v>101189</v>
      </c>
    </row>
    <row r="1934" spans="1:2" x14ac:dyDescent="0.25">
      <c r="A1934" t="s">
        <v>4546</v>
      </c>
      <c r="B1934">
        <v>381486</v>
      </c>
    </row>
    <row r="1935" spans="1:2" x14ac:dyDescent="0.25">
      <c r="A1935" t="s">
        <v>8827</v>
      </c>
      <c r="B1935">
        <v>496876</v>
      </c>
    </row>
    <row r="1936" spans="1:2" x14ac:dyDescent="0.25">
      <c r="A1936" t="s">
        <v>4547</v>
      </c>
      <c r="B1936">
        <v>248624</v>
      </c>
    </row>
    <row r="1937" spans="1:2" x14ac:dyDescent="0.25">
      <c r="A1937" t="s">
        <v>4548</v>
      </c>
      <c r="B1937">
        <v>413176</v>
      </c>
    </row>
    <row r="1938" spans="1:2" x14ac:dyDescent="0.25">
      <c r="A1938" t="s">
        <v>4549</v>
      </c>
      <c r="B1938">
        <v>198543</v>
      </c>
    </row>
    <row r="1939" spans="1:2" x14ac:dyDescent="0.25">
      <c r="A1939" t="s">
        <v>4550</v>
      </c>
      <c r="B1939">
        <v>198534</v>
      </c>
    </row>
    <row r="1940" spans="1:2" x14ac:dyDescent="0.25">
      <c r="A1940" t="s">
        <v>4551</v>
      </c>
      <c r="B1940">
        <v>114433</v>
      </c>
    </row>
    <row r="1941" spans="1:2" x14ac:dyDescent="0.25">
      <c r="A1941" t="s">
        <v>4552</v>
      </c>
      <c r="B1941">
        <v>114460</v>
      </c>
    </row>
    <row r="1942" spans="1:2" x14ac:dyDescent="0.25">
      <c r="A1942" t="s">
        <v>4553</v>
      </c>
      <c r="B1942">
        <v>487861</v>
      </c>
    </row>
    <row r="1943" spans="1:2" x14ac:dyDescent="0.25">
      <c r="A1943" t="s">
        <v>4554</v>
      </c>
      <c r="B1943">
        <v>184612</v>
      </c>
    </row>
    <row r="1944" spans="1:2" x14ac:dyDescent="0.25">
      <c r="A1944" t="s">
        <v>4555</v>
      </c>
      <c r="B1944">
        <v>169910</v>
      </c>
    </row>
    <row r="1945" spans="1:2" x14ac:dyDescent="0.25">
      <c r="A1945" t="s">
        <v>4556</v>
      </c>
      <c r="B1945">
        <v>232089</v>
      </c>
    </row>
    <row r="1946" spans="1:2" x14ac:dyDescent="0.25">
      <c r="A1946" t="s">
        <v>4557</v>
      </c>
      <c r="B1946">
        <v>114354</v>
      </c>
    </row>
    <row r="1947" spans="1:2" x14ac:dyDescent="0.25">
      <c r="A1947" t="s">
        <v>4558</v>
      </c>
      <c r="B1947">
        <v>114390</v>
      </c>
    </row>
    <row r="1948" spans="1:2" x14ac:dyDescent="0.25">
      <c r="A1948" t="s">
        <v>4559</v>
      </c>
      <c r="B1948">
        <v>114549</v>
      </c>
    </row>
    <row r="1949" spans="1:2" x14ac:dyDescent="0.25">
      <c r="A1949" t="s">
        <v>4560</v>
      </c>
      <c r="B1949">
        <v>436599</v>
      </c>
    </row>
    <row r="1950" spans="1:2" x14ac:dyDescent="0.25">
      <c r="A1950" t="s">
        <v>4561</v>
      </c>
      <c r="B1950">
        <v>191199</v>
      </c>
    </row>
    <row r="1951" spans="1:2" x14ac:dyDescent="0.25">
      <c r="A1951" t="s">
        <v>4562</v>
      </c>
      <c r="B1951">
        <v>475422</v>
      </c>
    </row>
    <row r="1952" spans="1:2" x14ac:dyDescent="0.25">
      <c r="A1952" t="s">
        <v>4563</v>
      </c>
      <c r="B1952">
        <v>172440</v>
      </c>
    </row>
    <row r="1953" spans="1:2" x14ac:dyDescent="0.25">
      <c r="A1953" t="s">
        <v>4564</v>
      </c>
      <c r="B1953">
        <v>205090</v>
      </c>
    </row>
    <row r="1954" spans="1:2" x14ac:dyDescent="0.25">
      <c r="A1954" t="s">
        <v>4565</v>
      </c>
      <c r="B1954">
        <v>461874</v>
      </c>
    </row>
    <row r="1955" spans="1:2" x14ac:dyDescent="0.25">
      <c r="A1955" t="s">
        <v>4566</v>
      </c>
      <c r="B1955">
        <v>484075</v>
      </c>
    </row>
    <row r="1956" spans="1:2" x14ac:dyDescent="0.25">
      <c r="A1956" t="s">
        <v>4567</v>
      </c>
      <c r="B1956">
        <v>137023</v>
      </c>
    </row>
    <row r="1957" spans="1:2" x14ac:dyDescent="0.25">
      <c r="A1957" t="s">
        <v>4568</v>
      </c>
      <c r="B1957">
        <v>145099</v>
      </c>
    </row>
    <row r="1958" spans="1:2" x14ac:dyDescent="0.25">
      <c r="A1958" t="s">
        <v>4569</v>
      </c>
      <c r="B1958">
        <v>165802</v>
      </c>
    </row>
    <row r="1959" spans="1:2" x14ac:dyDescent="0.25">
      <c r="A1959" t="s">
        <v>4570</v>
      </c>
      <c r="B1959">
        <v>220181</v>
      </c>
    </row>
    <row r="1960" spans="1:2" x14ac:dyDescent="0.25">
      <c r="A1960" t="s">
        <v>4571</v>
      </c>
      <c r="B1960">
        <v>165820</v>
      </c>
    </row>
    <row r="1961" spans="1:2" x14ac:dyDescent="0.25">
      <c r="A1961" t="s">
        <v>4572</v>
      </c>
      <c r="B1961">
        <v>114585</v>
      </c>
    </row>
    <row r="1962" spans="1:2" x14ac:dyDescent="0.25">
      <c r="A1962" t="s">
        <v>4573</v>
      </c>
      <c r="B1962">
        <v>191205</v>
      </c>
    </row>
    <row r="1963" spans="1:2" x14ac:dyDescent="0.25">
      <c r="A1963" t="s">
        <v>4574</v>
      </c>
      <c r="B1963">
        <v>133711</v>
      </c>
    </row>
    <row r="1964" spans="1:2" x14ac:dyDescent="0.25">
      <c r="A1964" t="s">
        <v>4575</v>
      </c>
      <c r="B1964">
        <v>461245</v>
      </c>
    </row>
    <row r="1965" spans="1:2" x14ac:dyDescent="0.25">
      <c r="A1965" t="s">
        <v>4576</v>
      </c>
      <c r="B1965">
        <v>476513</v>
      </c>
    </row>
    <row r="1966" spans="1:2" x14ac:dyDescent="0.25">
      <c r="A1966" t="s">
        <v>4577</v>
      </c>
      <c r="B1966">
        <v>180197</v>
      </c>
    </row>
    <row r="1967" spans="1:2" x14ac:dyDescent="0.25">
      <c r="A1967" t="s">
        <v>4578</v>
      </c>
      <c r="B1967">
        <v>160481</v>
      </c>
    </row>
    <row r="1968" spans="1:2" x14ac:dyDescent="0.25">
      <c r="A1968" t="s">
        <v>4579</v>
      </c>
      <c r="B1968">
        <v>155052</v>
      </c>
    </row>
    <row r="1969" spans="1:2" x14ac:dyDescent="0.25">
      <c r="A1969" t="s">
        <v>4580</v>
      </c>
      <c r="B1969">
        <v>169947</v>
      </c>
    </row>
    <row r="1970" spans="1:2" x14ac:dyDescent="0.25">
      <c r="A1970" t="s">
        <v>4581</v>
      </c>
      <c r="B1970">
        <v>218025</v>
      </c>
    </row>
    <row r="1971" spans="1:2" x14ac:dyDescent="0.25">
      <c r="A1971" t="s">
        <v>4582</v>
      </c>
      <c r="B1971">
        <v>462035</v>
      </c>
    </row>
    <row r="1972" spans="1:2" x14ac:dyDescent="0.25">
      <c r="A1972" t="s">
        <v>4583</v>
      </c>
      <c r="B1972">
        <v>447908</v>
      </c>
    </row>
    <row r="1973" spans="1:2" x14ac:dyDescent="0.25">
      <c r="A1973" t="s">
        <v>4584</v>
      </c>
      <c r="B1973">
        <v>496681</v>
      </c>
    </row>
    <row r="1974" spans="1:2" x14ac:dyDescent="0.25">
      <c r="A1974" t="s">
        <v>4585</v>
      </c>
      <c r="B1974">
        <v>133650</v>
      </c>
    </row>
    <row r="1975" spans="1:2" x14ac:dyDescent="0.25">
      <c r="A1975" t="s">
        <v>4586</v>
      </c>
      <c r="B1975">
        <v>133669</v>
      </c>
    </row>
    <row r="1976" spans="1:2" x14ac:dyDescent="0.25">
      <c r="A1976" t="s">
        <v>4587</v>
      </c>
      <c r="B1976">
        <v>441380</v>
      </c>
    </row>
    <row r="1977" spans="1:2" x14ac:dyDescent="0.25">
      <c r="A1977" t="s">
        <v>4588</v>
      </c>
      <c r="B1977">
        <v>487445</v>
      </c>
    </row>
    <row r="1978" spans="1:2" x14ac:dyDescent="0.25">
      <c r="A1978" t="s">
        <v>4589</v>
      </c>
      <c r="B1978">
        <v>487409</v>
      </c>
    </row>
    <row r="1979" spans="1:2" x14ac:dyDescent="0.25">
      <c r="A1979" t="s">
        <v>4590</v>
      </c>
      <c r="B1979">
        <v>487490</v>
      </c>
    </row>
    <row r="1980" spans="1:2" x14ac:dyDescent="0.25">
      <c r="A1980" t="s">
        <v>4591</v>
      </c>
      <c r="B1980">
        <v>487436</v>
      </c>
    </row>
    <row r="1981" spans="1:2" x14ac:dyDescent="0.25">
      <c r="A1981" t="s">
        <v>4592</v>
      </c>
      <c r="B1981">
        <v>487418</v>
      </c>
    </row>
    <row r="1982" spans="1:2" x14ac:dyDescent="0.25">
      <c r="A1982" t="s">
        <v>4593</v>
      </c>
      <c r="B1982">
        <v>487454</v>
      </c>
    </row>
    <row r="1983" spans="1:2" x14ac:dyDescent="0.25">
      <c r="A1983" t="s">
        <v>4594</v>
      </c>
      <c r="B1983">
        <v>133997</v>
      </c>
    </row>
    <row r="1984" spans="1:2" x14ac:dyDescent="0.25">
      <c r="A1984" t="s">
        <v>4595</v>
      </c>
      <c r="B1984">
        <v>487472</v>
      </c>
    </row>
    <row r="1985" spans="1:2" x14ac:dyDescent="0.25">
      <c r="A1985" t="s">
        <v>4596</v>
      </c>
      <c r="B1985">
        <v>487384</v>
      </c>
    </row>
    <row r="1986" spans="1:2" x14ac:dyDescent="0.25">
      <c r="A1986" t="s">
        <v>4597</v>
      </c>
      <c r="B1986">
        <v>487427</v>
      </c>
    </row>
    <row r="1987" spans="1:2" x14ac:dyDescent="0.25">
      <c r="A1987" t="s">
        <v>4598</v>
      </c>
      <c r="B1987">
        <v>487393</v>
      </c>
    </row>
    <row r="1988" spans="1:2" x14ac:dyDescent="0.25">
      <c r="A1988" t="s">
        <v>4599</v>
      </c>
      <c r="B1988">
        <v>434715</v>
      </c>
    </row>
    <row r="1989" spans="1:2" x14ac:dyDescent="0.25">
      <c r="A1989" t="s">
        <v>4600</v>
      </c>
      <c r="B1989">
        <v>133809</v>
      </c>
    </row>
    <row r="1990" spans="1:2" x14ac:dyDescent="0.25">
      <c r="A1990" t="s">
        <v>4601</v>
      </c>
      <c r="B1990">
        <v>434441</v>
      </c>
    </row>
    <row r="1991" spans="1:2" x14ac:dyDescent="0.25">
      <c r="A1991" t="s">
        <v>4602</v>
      </c>
      <c r="B1991">
        <v>441423</v>
      </c>
    </row>
    <row r="1992" spans="1:2" x14ac:dyDescent="0.25">
      <c r="A1992" t="s">
        <v>4603</v>
      </c>
      <c r="B1992">
        <v>135160</v>
      </c>
    </row>
    <row r="1993" spans="1:2" x14ac:dyDescent="0.25">
      <c r="A1993" t="s">
        <v>4604</v>
      </c>
      <c r="B1993">
        <v>433660</v>
      </c>
    </row>
    <row r="1994" spans="1:2" x14ac:dyDescent="0.25">
      <c r="A1994" t="s">
        <v>4605</v>
      </c>
      <c r="B1994">
        <v>476814</v>
      </c>
    </row>
    <row r="1995" spans="1:2" x14ac:dyDescent="0.25">
      <c r="A1995" t="s">
        <v>4606</v>
      </c>
      <c r="B1995">
        <v>133881</v>
      </c>
    </row>
    <row r="1996" spans="1:2" x14ac:dyDescent="0.25">
      <c r="A1996" t="s">
        <v>4607</v>
      </c>
      <c r="B1996">
        <v>480569</v>
      </c>
    </row>
    <row r="1997" spans="1:2" x14ac:dyDescent="0.25">
      <c r="A1997" t="s">
        <v>4608</v>
      </c>
      <c r="B1997">
        <v>133942</v>
      </c>
    </row>
    <row r="1998" spans="1:2" x14ac:dyDescent="0.25">
      <c r="A1998" t="s">
        <v>4609</v>
      </c>
      <c r="B1998">
        <v>486512</v>
      </c>
    </row>
    <row r="1999" spans="1:2" x14ac:dyDescent="0.25">
      <c r="A1999" t="s">
        <v>4610</v>
      </c>
      <c r="B1999">
        <v>133951</v>
      </c>
    </row>
    <row r="2000" spans="1:2" x14ac:dyDescent="0.25">
      <c r="A2000" t="s">
        <v>4611</v>
      </c>
      <c r="B2000">
        <v>133979</v>
      </c>
    </row>
    <row r="2001" spans="1:2" x14ac:dyDescent="0.25">
      <c r="A2001" t="s">
        <v>4612</v>
      </c>
      <c r="B2001">
        <v>408844</v>
      </c>
    </row>
    <row r="2002" spans="1:2" x14ac:dyDescent="0.25">
      <c r="A2002" t="s">
        <v>4613</v>
      </c>
      <c r="B2002">
        <v>138284</v>
      </c>
    </row>
    <row r="2003" spans="1:2" x14ac:dyDescent="0.25">
      <c r="A2003" t="s">
        <v>4614</v>
      </c>
      <c r="B2003">
        <v>482936</v>
      </c>
    </row>
    <row r="2004" spans="1:2" x14ac:dyDescent="0.25">
      <c r="A2004" t="s">
        <v>4615</v>
      </c>
      <c r="B2004">
        <v>495299</v>
      </c>
    </row>
    <row r="2005" spans="1:2" x14ac:dyDescent="0.25">
      <c r="A2005" t="s">
        <v>4616</v>
      </c>
      <c r="B2005">
        <v>134024</v>
      </c>
    </row>
    <row r="2006" spans="1:2" x14ac:dyDescent="0.25">
      <c r="A2006" t="s">
        <v>4617</v>
      </c>
      <c r="B2006">
        <v>457350</v>
      </c>
    </row>
    <row r="2007" spans="1:2" x14ac:dyDescent="0.25">
      <c r="A2007" t="s">
        <v>4618</v>
      </c>
      <c r="B2007">
        <v>134079</v>
      </c>
    </row>
    <row r="2008" spans="1:2" x14ac:dyDescent="0.25">
      <c r="A2008" t="s">
        <v>4619</v>
      </c>
      <c r="B2008">
        <v>133508</v>
      </c>
    </row>
    <row r="2009" spans="1:2" x14ac:dyDescent="0.25">
      <c r="A2009" t="s">
        <v>4620</v>
      </c>
      <c r="B2009">
        <v>133702</v>
      </c>
    </row>
    <row r="2010" spans="1:2" x14ac:dyDescent="0.25">
      <c r="A2010" t="s">
        <v>4621</v>
      </c>
      <c r="B2010">
        <v>134097</v>
      </c>
    </row>
    <row r="2011" spans="1:2" x14ac:dyDescent="0.25">
      <c r="A2011" t="s">
        <v>4622</v>
      </c>
      <c r="B2011">
        <v>488253</v>
      </c>
    </row>
    <row r="2012" spans="1:2" x14ac:dyDescent="0.25">
      <c r="A2012" t="s">
        <v>4623</v>
      </c>
      <c r="B2012">
        <v>444219</v>
      </c>
    </row>
    <row r="2013" spans="1:2" x14ac:dyDescent="0.25">
      <c r="A2013" t="s">
        <v>4624</v>
      </c>
      <c r="B2013">
        <v>380368</v>
      </c>
    </row>
    <row r="2014" spans="1:2" x14ac:dyDescent="0.25">
      <c r="A2014" t="s">
        <v>4625</v>
      </c>
      <c r="B2014">
        <v>177418</v>
      </c>
    </row>
    <row r="2015" spans="1:2" x14ac:dyDescent="0.25">
      <c r="A2015" t="s">
        <v>4626</v>
      </c>
      <c r="B2015">
        <v>114716</v>
      </c>
    </row>
    <row r="2016" spans="1:2" x14ac:dyDescent="0.25">
      <c r="A2016" t="s">
        <v>4627</v>
      </c>
      <c r="B2016">
        <v>114831</v>
      </c>
    </row>
    <row r="2017" spans="1:2" x14ac:dyDescent="0.25">
      <c r="A2017" t="s">
        <v>4628</v>
      </c>
      <c r="B2017">
        <v>419332</v>
      </c>
    </row>
    <row r="2018" spans="1:2" x14ac:dyDescent="0.25">
      <c r="A2018" t="s">
        <v>4629</v>
      </c>
      <c r="B2018">
        <v>191241</v>
      </c>
    </row>
    <row r="2019" spans="1:2" x14ac:dyDescent="0.25">
      <c r="A2019" t="s">
        <v>4630</v>
      </c>
      <c r="B2019">
        <v>208044</v>
      </c>
    </row>
    <row r="2020" spans="1:2" x14ac:dyDescent="0.25">
      <c r="A2020" t="s">
        <v>4631</v>
      </c>
      <c r="B2020">
        <v>198552</v>
      </c>
    </row>
    <row r="2021" spans="1:2" x14ac:dyDescent="0.25">
      <c r="A2021" t="s">
        <v>4632</v>
      </c>
      <c r="B2021">
        <v>155061</v>
      </c>
    </row>
    <row r="2022" spans="1:2" x14ac:dyDescent="0.25">
      <c r="A2022" t="s">
        <v>4633</v>
      </c>
      <c r="B2022">
        <v>127185</v>
      </c>
    </row>
    <row r="2023" spans="1:2" x14ac:dyDescent="0.25">
      <c r="A2023" t="s">
        <v>4634</v>
      </c>
      <c r="B2023">
        <v>135267</v>
      </c>
    </row>
    <row r="2024" spans="1:2" x14ac:dyDescent="0.25">
      <c r="A2024" t="s">
        <v>4635</v>
      </c>
      <c r="B2024">
        <v>180212</v>
      </c>
    </row>
    <row r="2025" spans="1:2" x14ac:dyDescent="0.25">
      <c r="A2025" t="s">
        <v>4636</v>
      </c>
      <c r="B2025">
        <v>134228</v>
      </c>
    </row>
    <row r="2026" spans="1:2" x14ac:dyDescent="0.25">
      <c r="A2026" t="s">
        <v>4637</v>
      </c>
      <c r="B2026">
        <v>155098</v>
      </c>
    </row>
    <row r="2027" spans="1:2" x14ac:dyDescent="0.25">
      <c r="A2027" t="s">
        <v>4638</v>
      </c>
      <c r="B2027">
        <v>139719</v>
      </c>
    </row>
    <row r="2028" spans="1:2" x14ac:dyDescent="0.25">
      <c r="A2028" t="s">
        <v>4639</v>
      </c>
      <c r="B2028">
        <v>224828</v>
      </c>
    </row>
    <row r="2029" spans="1:2" x14ac:dyDescent="0.25">
      <c r="A2029" t="s">
        <v>4640</v>
      </c>
      <c r="B2029">
        <v>371052</v>
      </c>
    </row>
    <row r="2030" spans="1:2" x14ac:dyDescent="0.25">
      <c r="A2030" t="s">
        <v>4640</v>
      </c>
      <c r="B2030">
        <v>392415</v>
      </c>
    </row>
    <row r="2031" spans="1:2" x14ac:dyDescent="0.25">
      <c r="A2031" t="s">
        <v>4641</v>
      </c>
      <c r="B2031">
        <v>439738</v>
      </c>
    </row>
    <row r="2032" spans="1:2" x14ac:dyDescent="0.25">
      <c r="A2032" t="s">
        <v>4642</v>
      </c>
      <c r="B2032">
        <v>205179</v>
      </c>
    </row>
    <row r="2033" spans="1:2" x14ac:dyDescent="0.25">
      <c r="A2033" t="s">
        <v>4643</v>
      </c>
      <c r="B2033">
        <v>450067</v>
      </c>
    </row>
    <row r="2034" spans="1:2" x14ac:dyDescent="0.25">
      <c r="A2034" t="s">
        <v>4644</v>
      </c>
      <c r="B2034">
        <v>460020</v>
      </c>
    </row>
    <row r="2035" spans="1:2" x14ac:dyDescent="0.25">
      <c r="A2035" t="s">
        <v>4645</v>
      </c>
      <c r="B2035">
        <v>450058</v>
      </c>
    </row>
    <row r="2036" spans="1:2" x14ac:dyDescent="0.25">
      <c r="A2036" t="s">
        <v>4646</v>
      </c>
      <c r="B2036">
        <v>490975</v>
      </c>
    </row>
    <row r="2037" spans="1:2" x14ac:dyDescent="0.25">
      <c r="A2037" t="s">
        <v>4647</v>
      </c>
      <c r="B2037">
        <v>487302</v>
      </c>
    </row>
    <row r="2038" spans="1:2" x14ac:dyDescent="0.25">
      <c r="A2038" t="s">
        <v>4648</v>
      </c>
      <c r="B2038">
        <v>455460</v>
      </c>
    </row>
    <row r="2039" spans="1:2" x14ac:dyDescent="0.25">
      <c r="A2039" t="s">
        <v>4649</v>
      </c>
      <c r="B2039">
        <v>436641</v>
      </c>
    </row>
    <row r="2040" spans="1:2" x14ac:dyDescent="0.25">
      <c r="A2040" t="s">
        <v>4650</v>
      </c>
      <c r="B2040">
        <v>458681</v>
      </c>
    </row>
    <row r="2041" spans="1:2" x14ac:dyDescent="0.25">
      <c r="A2041" t="s">
        <v>4651</v>
      </c>
      <c r="B2041">
        <v>494843</v>
      </c>
    </row>
    <row r="2042" spans="1:2" x14ac:dyDescent="0.25">
      <c r="A2042" t="s">
        <v>4652</v>
      </c>
      <c r="B2042">
        <v>455488</v>
      </c>
    </row>
    <row r="2043" spans="1:2" x14ac:dyDescent="0.25">
      <c r="A2043" t="s">
        <v>4652</v>
      </c>
      <c r="B2043">
        <v>475130</v>
      </c>
    </row>
    <row r="2044" spans="1:2" x14ac:dyDescent="0.25">
      <c r="A2044" t="s">
        <v>4653</v>
      </c>
      <c r="B2044">
        <v>233329</v>
      </c>
    </row>
    <row r="2045" spans="1:2" x14ac:dyDescent="0.25">
      <c r="A2045" t="s">
        <v>4654</v>
      </c>
      <c r="B2045">
        <v>439792</v>
      </c>
    </row>
    <row r="2046" spans="1:2" x14ac:dyDescent="0.25">
      <c r="A2046" t="s">
        <v>4655</v>
      </c>
      <c r="B2046">
        <v>382957</v>
      </c>
    </row>
    <row r="2047" spans="1:2" x14ac:dyDescent="0.25">
      <c r="A2047" t="s">
        <v>4656</v>
      </c>
      <c r="B2047">
        <v>456454</v>
      </c>
    </row>
    <row r="2048" spans="1:2" x14ac:dyDescent="0.25">
      <c r="A2048" t="s">
        <v>4657</v>
      </c>
      <c r="B2048">
        <v>372921</v>
      </c>
    </row>
    <row r="2049" spans="1:2" x14ac:dyDescent="0.25">
      <c r="A2049" t="s">
        <v>4658</v>
      </c>
      <c r="B2049">
        <v>459958</v>
      </c>
    </row>
    <row r="2050" spans="1:2" x14ac:dyDescent="0.25">
      <c r="A2050" t="s">
        <v>4659</v>
      </c>
      <c r="B2050">
        <v>455628</v>
      </c>
    </row>
    <row r="2051" spans="1:2" x14ac:dyDescent="0.25">
      <c r="A2051" t="s">
        <v>4660</v>
      </c>
      <c r="B2051">
        <v>494436</v>
      </c>
    </row>
    <row r="2052" spans="1:2" x14ac:dyDescent="0.25">
      <c r="A2052" t="s">
        <v>4661</v>
      </c>
      <c r="B2052">
        <v>249609</v>
      </c>
    </row>
    <row r="2053" spans="1:2" x14ac:dyDescent="0.25">
      <c r="A2053" t="s">
        <v>4662</v>
      </c>
      <c r="B2053">
        <v>475024</v>
      </c>
    </row>
    <row r="2054" spans="1:2" x14ac:dyDescent="0.25">
      <c r="A2054" t="s">
        <v>4663</v>
      </c>
      <c r="B2054">
        <v>452124</v>
      </c>
    </row>
    <row r="2055" spans="1:2" x14ac:dyDescent="0.25">
      <c r="A2055" t="s">
        <v>4664</v>
      </c>
      <c r="B2055">
        <v>455479</v>
      </c>
    </row>
    <row r="2056" spans="1:2" x14ac:dyDescent="0.25">
      <c r="A2056" t="s">
        <v>4665</v>
      </c>
      <c r="B2056">
        <v>445744</v>
      </c>
    </row>
    <row r="2057" spans="1:2" x14ac:dyDescent="0.25">
      <c r="A2057" t="s">
        <v>4666</v>
      </c>
      <c r="B2057">
        <v>385503</v>
      </c>
    </row>
    <row r="2058" spans="1:2" x14ac:dyDescent="0.25">
      <c r="A2058" t="s">
        <v>4667</v>
      </c>
      <c r="B2058">
        <v>163347</v>
      </c>
    </row>
    <row r="2059" spans="1:2" x14ac:dyDescent="0.25">
      <c r="A2059" t="s">
        <v>4668</v>
      </c>
      <c r="B2059">
        <v>183725</v>
      </c>
    </row>
    <row r="2060" spans="1:2" x14ac:dyDescent="0.25">
      <c r="A2060" t="s">
        <v>4669</v>
      </c>
      <c r="B2060">
        <v>488271</v>
      </c>
    </row>
    <row r="2061" spans="1:2" x14ac:dyDescent="0.25">
      <c r="A2061" t="s">
        <v>4670</v>
      </c>
      <c r="B2061">
        <v>175698</v>
      </c>
    </row>
    <row r="2062" spans="1:2" x14ac:dyDescent="0.25">
      <c r="A2062" t="s">
        <v>4671</v>
      </c>
      <c r="B2062">
        <v>485236</v>
      </c>
    </row>
    <row r="2063" spans="1:2" x14ac:dyDescent="0.25">
      <c r="A2063" t="s">
        <v>4672</v>
      </c>
      <c r="B2063">
        <v>457873</v>
      </c>
    </row>
    <row r="2064" spans="1:2" x14ac:dyDescent="0.25">
      <c r="A2064" t="s">
        <v>4673</v>
      </c>
      <c r="B2064">
        <v>177436</v>
      </c>
    </row>
    <row r="2065" spans="1:2" x14ac:dyDescent="0.25">
      <c r="A2065" t="s">
        <v>4674</v>
      </c>
      <c r="B2065">
        <v>145239</v>
      </c>
    </row>
    <row r="2066" spans="1:2" x14ac:dyDescent="0.25">
      <c r="A2066" t="s">
        <v>4675</v>
      </c>
      <c r="B2066">
        <v>238722</v>
      </c>
    </row>
    <row r="2067" spans="1:2" x14ac:dyDescent="0.25">
      <c r="A2067" t="s">
        <v>4676</v>
      </c>
      <c r="B2067">
        <v>165866</v>
      </c>
    </row>
    <row r="2068" spans="1:2" x14ac:dyDescent="0.25">
      <c r="A2068" t="s">
        <v>4677</v>
      </c>
      <c r="B2068">
        <v>218061</v>
      </c>
    </row>
    <row r="2069" spans="1:2" x14ac:dyDescent="0.25">
      <c r="A2069" t="s">
        <v>4678</v>
      </c>
      <c r="B2069">
        <v>245999</v>
      </c>
    </row>
    <row r="2070" spans="1:2" x14ac:dyDescent="0.25">
      <c r="A2070" t="s">
        <v>4679</v>
      </c>
      <c r="B2070">
        <v>160074</v>
      </c>
    </row>
    <row r="2071" spans="1:2" x14ac:dyDescent="0.25">
      <c r="A2071" t="s">
        <v>4680</v>
      </c>
      <c r="B2071">
        <v>114734</v>
      </c>
    </row>
    <row r="2072" spans="1:2" x14ac:dyDescent="0.25">
      <c r="A2072" t="s">
        <v>4681</v>
      </c>
      <c r="B2072">
        <v>205957</v>
      </c>
    </row>
    <row r="2073" spans="1:2" x14ac:dyDescent="0.25">
      <c r="A2073" t="s">
        <v>4682</v>
      </c>
      <c r="B2073">
        <v>224891</v>
      </c>
    </row>
    <row r="2074" spans="1:2" x14ac:dyDescent="0.25">
      <c r="A2074" t="s">
        <v>4683</v>
      </c>
      <c r="B2074">
        <v>212577</v>
      </c>
    </row>
    <row r="2075" spans="1:2" x14ac:dyDescent="0.25">
      <c r="A2075" t="s">
        <v>4684</v>
      </c>
      <c r="B2075">
        <v>150604</v>
      </c>
    </row>
    <row r="2076" spans="1:2" x14ac:dyDescent="0.25">
      <c r="A2076" t="s">
        <v>4685</v>
      </c>
      <c r="B2076">
        <v>248633</v>
      </c>
    </row>
    <row r="2077" spans="1:2" x14ac:dyDescent="0.25">
      <c r="A2077" t="s">
        <v>4686</v>
      </c>
      <c r="B2077">
        <v>483577</v>
      </c>
    </row>
    <row r="2078" spans="1:2" x14ac:dyDescent="0.25">
      <c r="A2078" t="s">
        <v>4687</v>
      </c>
      <c r="B2078">
        <v>182795</v>
      </c>
    </row>
    <row r="2079" spans="1:2" x14ac:dyDescent="0.25">
      <c r="A2079" t="s">
        <v>4688</v>
      </c>
      <c r="B2079">
        <v>409120</v>
      </c>
    </row>
    <row r="2080" spans="1:2" x14ac:dyDescent="0.25">
      <c r="A2080" t="s">
        <v>4689</v>
      </c>
      <c r="B2080">
        <v>202806</v>
      </c>
    </row>
    <row r="2081" spans="1:2" x14ac:dyDescent="0.25">
      <c r="A2081" t="s">
        <v>4690</v>
      </c>
      <c r="B2081">
        <v>441982</v>
      </c>
    </row>
    <row r="2082" spans="1:2" x14ac:dyDescent="0.25">
      <c r="A2082" t="s">
        <v>4691</v>
      </c>
      <c r="B2082">
        <v>459329</v>
      </c>
    </row>
    <row r="2083" spans="1:2" x14ac:dyDescent="0.25">
      <c r="A2083" t="s">
        <v>4692</v>
      </c>
      <c r="B2083">
        <v>237844</v>
      </c>
    </row>
    <row r="2084" spans="1:2" x14ac:dyDescent="0.25">
      <c r="A2084" t="s">
        <v>4693</v>
      </c>
      <c r="B2084">
        <v>162557</v>
      </c>
    </row>
    <row r="2085" spans="1:2" x14ac:dyDescent="0.25">
      <c r="A2085" t="s">
        <v>4694</v>
      </c>
      <c r="B2085">
        <v>114761</v>
      </c>
    </row>
    <row r="2086" spans="1:2" x14ac:dyDescent="0.25">
      <c r="A2086" t="s">
        <v>4695</v>
      </c>
      <c r="B2086">
        <v>220215</v>
      </c>
    </row>
    <row r="2087" spans="1:2" x14ac:dyDescent="0.25">
      <c r="A2087" t="s">
        <v>4696</v>
      </c>
      <c r="B2087">
        <v>372073</v>
      </c>
    </row>
    <row r="2088" spans="1:2" x14ac:dyDescent="0.25">
      <c r="A2088" t="s">
        <v>4697</v>
      </c>
      <c r="B2088">
        <v>455062</v>
      </c>
    </row>
    <row r="2089" spans="1:2" x14ac:dyDescent="0.25">
      <c r="A2089" t="s">
        <v>4698</v>
      </c>
      <c r="B2089">
        <v>114789</v>
      </c>
    </row>
    <row r="2090" spans="1:2" x14ac:dyDescent="0.25">
      <c r="A2090" t="s">
        <v>4699</v>
      </c>
      <c r="B2090">
        <v>114813</v>
      </c>
    </row>
    <row r="2091" spans="1:2" x14ac:dyDescent="0.25">
      <c r="A2091" t="s">
        <v>4700</v>
      </c>
      <c r="B2091">
        <v>155089</v>
      </c>
    </row>
    <row r="2092" spans="1:2" x14ac:dyDescent="0.25">
      <c r="A2092" t="s">
        <v>4701</v>
      </c>
      <c r="B2092">
        <v>127200</v>
      </c>
    </row>
    <row r="2093" spans="1:2" x14ac:dyDescent="0.25">
      <c r="A2093" t="s">
        <v>4702</v>
      </c>
      <c r="B2093">
        <v>403469</v>
      </c>
    </row>
    <row r="2094" spans="1:2" x14ac:dyDescent="0.25">
      <c r="A2094" t="s">
        <v>4703</v>
      </c>
      <c r="B2094">
        <v>156727</v>
      </c>
    </row>
    <row r="2095" spans="1:2" x14ac:dyDescent="0.25">
      <c r="A2095" t="s">
        <v>4704</v>
      </c>
      <c r="B2095">
        <v>162584</v>
      </c>
    </row>
    <row r="2096" spans="1:2" x14ac:dyDescent="0.25">
      <c r="A2096" t="s">
        <v>4705</v>
      </c>
      <c r="B2096">
        <v>134237</v>
      </c>
    </row>
    <row r="2097" spans="1:2" x14ac:dyDescent="0.25">
      <c r="A2097" t="s">
        <v>4706</v>
      </c>
      <c r="B2097">
        <v>114840</v>
      </c>
    </row>
    <row r="2098" spans="1:2" x14ac:dyDescent="0.25">
      <c r="A2098" t="s">
        <v>4707</v>
      </c>
      <c r="B2098">
        <v>114859</v>
      </c>
    </row>
    <row r="2099" spans="1:2" x14ac:dyDescent="0.25">
      <c r="A2099" t="s">
        <v>4708</v>
      </c>
      <c r="B2099">
        <v>191302</v>
      </c>
    </row>
    <row r="2100" spans="1:2" x14ac:dyDescent="0.25">
      <c r="A2100" t="s">
        <v>4709</v>
      </c>
      <c r="B2100">
        <v>218070</v>
      </c>
    </row>
    <row r="2101" spans="1:2" x14ac:dyDescent="0.25">
      <c r="A2101" t="s">
        <v>4710</v>
      </c>
      <c r="B2101">
        <v>476498</v>
      </c>
    </row>
    <row r="2102" spans="1:2" x14ac:dyDescent="0.25">
      <c r="A2102" t="s">
        <v>4711</v>
      </c>
      <c r="B2102">
        <v>481030</v>
      </c>
    </row>
    <row r="2103" spans="1:2" x14ac:dyDescent="0.25">
      <c r="A2103" t="s">
        <v>4712</v>
      </c>
      <c r="B2103">
        <v>459310</v>
      </c>
    </row>
    <row r="2104" spans="1:2" x14ac:dyDescent="0.25">
      <c r="A2104" t="s">
        <v>4713</v>
      </c>
      <c r="B2104">
        <v>476939</v>
      </c>
    </row>
    <row r="2105" spans="1:2" x14ac:dyDescent="0.25">
      <c r="A2105" t="s">
        <v>4714</v>
      </c>
      <c r="B2105">
        <v>145406</v>
      </c>
    </row>
    <row r="2106" spans="1:2" x14ac:dyDescent="0.25">
      <c r="A2106" t="s">
        <v>4714</v>
      </c>
      <c r="B2106">
        <v>407090</v>
      </c>
    </row>
    <row r="2107" spans="1:2" x14ac:dyDescent="0.25">
      <c r="A2107" t="s">
        <v>4715</v>
      </c>
      <c r="B2107">
        <v>485926</v>
      </c>
    </row>
    <row r="2108" spans="1:2" x14ac:dyDescent="0.25">
      <c r="A2108" t="s">
        <v>4716</v>
      </c>
      <c r="B2108">
        <v>101240</v>
      </c>
    </row>
    <row r="2109" spans="1:2" x14ac:dyDescent="0.25">
      <c r="A2109" t="s">
        <v>4717</v>
      </c>
      <c r="B2109">
        <v>490090</v>
      </c>
    </row>
    <row r="2110" spans="1:2" x14ac:dyDescent="0.25">
      <c r="A2110" t="s">
        <v>4718</v>
      </c>
      <c r="B2110">
        <v>461254</v>
      </c>
    </row>
    <row r="2111" spans="1:2" x14ac:dyDescent="0.25">
      <c r="A2111" t="s">
        <v>4719</v>
      </c>
      <c r="B2111">
        <v>491181</v>
      </c>
    </row>
    <row r="2112" spans="1:2" x14ac:dyDescent="0.25">
      <c r="A2112" t="s">
        <v>4720</v>
      </c>
      <c r="B2112">
        <v>452948</v>
      </c>
    </row>
    <row r="2113" spans="1:2" x14ac:dyDescent="0.25">
      <c r="A2113" t="s">
        <v>4721</v>
      </c>
      <c r="B2113">
        <v>156471</v>
      </c>
    </row>
    <row r="2114" spans="1:2" x14ac:dyDescent="0.25">
      <c r="A2114" t="s">
        <v>4722</v>
      </c>
      <c r="B2114">
        <v>406033</v>
      </c>
    </row>
    <row r="2115" spans="1:2" x14ac:dyDescent="0.25">
      <c r="A2115" t="s">
        <v>4723</v>
      </c>
      <c r="B2115">
        <v>406024</v>
      </c>
    </row>
    <row r="2116" spans="1:2" x14ac:dyDescent="0.25">
      <c r="A2116" t="s">
        <v>4724</v>
      </c>
      <c r="B2116">
        <v>497116</v>
      </c>
    </row>
    <row r="2117" spans="1:2" x14ac:dyDescent="0.25">
      <c r="A2117" t="s">
        <v>4725</v>
      </c>
      <c r="B2117">
        <v>496991</v>
      </c>
    </row>
    <row r="2118" spans="1:2" x14ac:dyDescent="0.25">
      <c r="A2118" t="s">
        <v>4726</v>
      </c>
      <c r="B2118">
        <v>497125</v>
      </c>
    </row>
    <row r="2119" spans="1:2" x14ac:dyDescent="0.25">
      <c r="A2119" t="s">
        <v>4727</v>
      </c>
      <c r="B2119">
        <v>131450</v>
      </c>
    </row>
    <row r="2120" spans="1:2" x14ac:dyDescent="0.25">
      <c r="A2120" t="s">
        <v>4728</v>
      </c>
      <c r="B2120">
        <v>224961</v>
      </c>
    </row>
    <row r="2121" spans="1:2" x14ac:dyDescent="0.25">
      <c r="A2121" t="s">
        <v>4729</v>
      </c>
      <c r="B2121">
        <v>212601</v>
      </c>
    </row>
    <row r="2122" spans="1:2" x14ac:dyDescent="0.25">
      <c r="A2122" t="s">
        <v>4730</v>
      </c>
      <c r="B2122">
        <v>155104</v>
      </c>
    </row>
    <row r="2123" spans="1:2" x14ac:dyDescent="0.25">
      <c r="A2123" t="s">
        <v>4731</v>
      </c>
      <c r="B2123">
        <v>488013</v>
      </c>
    </row>
    <row r="2124" spans="1:2" x14ac:dyDescent="0.25">
      <c r="A2124" t="s">
        <v>4732</v>
      </c>
      <c r="B2124">
        <v>198561</v>
      </c>
    </row>
    <row r="2125" spans="1:2" x14ac:dyDescent="0.25">
      <c r="A2125" t="s">
        <v>4733</v>
      </c>
      <c r="B2125">
        <v>431169</v>
      </c>
    </row>
    <row r="2126" spans="1:2" x14ac:dyDescent="0.25">
      <c r="A2126" t="s">
        <v>4734</v>
      </c>
      <c r="B2126">
        <v>162609</v>
      </c>
    </row>
    <row r="2127" spans="1:2" x14ac:dyDescent="0.25">
      <c r="A2127" t="s">
        <v>4735</v>
      </c>
      <c r="B2127">
        <v>145275</v>
      </c>
    </row>
    <row r="2128" spans="1:2" x14ac:dyDescent="0.25">
      <c r="A2128" t="s">
        <v>4736</v>
      </c>
      <c r="B2128">
        <v>198570</v>
      </c>
    </row>
    <row r="2129" spans="1:2" x14ac:dyDescent="0.25">
      <c r="A2129" t="s">
        <v>4737</v>
      </c>
      <c r="B2129">
        <v>157438</v>
      </c>
    </row>
    <row r="2130" spans="1:2" x14ac:dyDescent="0.25">
      <c r="A2130" t="s">
        <v>4738</v>
      </c>
      <c r="B2130">
        <v>105145</v>
      </c>
    </row>
    <row r="2131" spans="1:2" x14ac:dyDescent="0.25">
      <c r="A2131" t="s">
        <v>4739</v>
      </c>
      <c r="B2131">
        <v>130396</v>
      </c>
    </row>
    <row r="2132" spans="1:2" x14ac:dyDescent="0.25">
      <c r="A2132" t="s">
        <v>4740</v>
      </c>
      <c r="B2132">
        <v>246895</v>
      </c>
    </row>
    <row r="2133" spans="1:2" x14ac:dyDescent="0.25">
      <c r="A2133" t="s">
        <v>4741</v>
      </c>
      <c r="B2133">
        <v>238759</v>
      </c>
    </row>
    <row r="2134" spans="1:2" x14ac:dyDescent="0.25">
      <c r="A2134" t="s">
        <v>4742</v>
      </c>
      <c r="B2134">
        <v>495147</v>
      </c>
    </row>
    <row r="2135" spans="1:2" x14ac:dyDescent="0.25">
      <c r="A2135" t="s">
        <v>4743</v>
      </c>
      <c r="B2135">
        <v>114938</v>
      </c>
    </row>
    <row r="2136" spans="1:2" x14ac:dyDescent="0.25">
      <c r="A2136" t="s">
        <v>4744</v>
      </c>
      <c r="B2136">
        <v>456542</v>
      </c>
    </row>
    <row r="2137" spans="1:2" x14ac:dyDescent="0.25">
      <c r="A2137" t="s">
        <v>4745</v>
      </c>
      <c r="B2137">
        <v>460385</v>
      </c>
    </row>
    <row r="2138" spans="1:2" x14ac:dyDescent="0.25">
      <c r="A2138" t="s">
        <v>4746</v>
      </c>
      <c r="B2138">
        <v>145309</v>
      </c>
    </row>
    <row r="2139" spans="1:2" x14ac:dyDescent="0.25">
      <c r="A2139" t="s">
        <v>4747</v>
      </c>
      <c r="B2139">
        <v>480912</v>
      </c>
    </row>
    <row r="2140" spans="1:2" x14ac:dyDescent="0.25">
      <c r="A2140" t="s">
        <v>4748</v>
      </c>
      <c r="B2140">
        <v>114947</v>
      </c>
    </row>
    <row r="2141" spans="1:2" x14ac:dyDescent="0.25">
      <c r="A2141" t="s">
        <v>4749</v>
      </c>
      <c r="B2141">
        <v>191311</v>
      </c>
    </row>
    <row r="2142" spans="1:2" x14ac:dyDescent="0.25">
      <c r="A2142" t="s">
        <v>4750</v>
      </c>
      <c r="B2142">
        <v>191339</v>
      </c>
    </row>
    <row r="2143" spans="1:2" x14ac:dyDescent="0.25">
      <c r="A2143" t="s">
        <v>4751</v>
      </c>
      <c r="B2143">
        <v>431196</v>
      </c>
    </row>
    <row r="2144" spans="1:2" x14ac:dyDescent="0.25">
      <c r="A2144" t="s">
        <v>4752</v>
      </c>
      <c r="B2144">
        <v>220765</v>
      </c>
    </row>
    <row r="2145" spans="1:2" x14ac:dyDescent="0.25">
      <c r="A2145" t="s">
        <v>4753</v>
      </c>
      <c r="B2145">
        <v>382780</v>
      </c>
    </row>
    <row r="2146" spans="1:2" x14ac:dyDescent="0.25">
      <c r="A2146" t="s">
        <v>4754</v>
      </c>
      <c r="B2146">
        <v>212656</v>
      </c>
    </row>
    <row r="2147" spans="1:2" x14ac:dyDescent="0.25">
      <c r="A2147" t="s">
        <v>4755</v>
      </c>
      <c r="B2147">
        <v>101286</v>
      </c>
    </row>
    <row r="2148" spans="1:2" x14ac:dyDescent="0.25">
      <c r="A2148" t="s">
        <v>4756</v>
      </c>
      <c r="B2148">
        <v>101295</v>
      </c>
    </row>
    <row r="2149" spans="1:2" x14ac:dyDescent="0.25">
      <c r="A2149" t="s">
        <v>4757</v>
      </c>
      <c r="B2149">
        <v>101301</v>
      </c>
    </row>
    <row r="2150" spans="1:2" x14ac:dyDescent="0.25">
      <c r="A2150" t="s">
        <v>4758</v>
      </c>
      <c r="B2150">
        <v>208822</v>
      </c>
    </row>
    <row r="2151" spans="1:2" x14ac:dyDescent="0.25">
      <c r="A2151" t="s">
        <v>4759</v>
      </c>
      <c r="B2151">
        <v>232186</v>
      </c>
    </row>
    <row r="2152" spans="1:2" x14ac:dyDescent="0.25">
      <c r="A2152" t="s">
        <v>4760</v>
      </c>
      <c r="B2152">
        <v>134291</v>
      </c>
    </row>
    <row r="2153" spans="1:2" x14ac:dyDescent="0.25">
      <c r="A2153" t="s">
        <v>4761</v>
      </c>
      <c r="B2153">
        <v>134307</v>
      </c>
    </row>
    <row r="2154" spans="1:2" x14ac:dyDescent="0.25">
      <c r="A2154" t="s">
        <v>4762</v>
      </c>
      <c r="B2154">
        <v>131469</v>
      </c>
    </row>
    <row r="2155" spans="1:2" x14ac:dyDescent="0.25">
      <c r="A2155" t="s">
        <v>4763</v>
      </c>
      <c r="B2155">
        <v>156745</v>
      </c>
    </row>
    <row r="2156" spans="1:2" x14ac:dyDescent="0.25">
      <c r="A2156" t="s">
        <v>4764</v>
      </c>
      <c r="B2156">
        <v>131496</v>
      </c>
    </row>
    <row r="2157" spans="1:2" x14ac:dyDescent="0.25">
      <c r="A2157" t="s">
        <v>4765</v>
      </c>
      <c r="B2157">
        <v>138822</v>
      </c>
    </row>
    <row r="2158" spans="1:2" x14ac:dyDescent="0.25">
      <c r="A2158" t="s">
        <v>4766</v>
      </c>
      <c r="B2158">
        <v>139861</v>
      </c>
    </row>
    <row r="2159" spans="1:2" x14ac:dyDescent="0.25">
      <c r="A2159" t="s">
        <v>4767</v>
      </c>
      <c r="B2159">
        <v>447689</v>
      </c>
    </row>
    <row r="2160" spans="1:2" x14ac:dyDescent="0.25">
      <c r="A2160" t="s">
        <v>4768</v>
      </c>
      <c r="B2160">
        <v>139700</v>
      </c>
    </row>
    <row r="2161" spans="1:2" x14ac:dyDescent="0.25">
      <c r="A2161" t="s">
        <v>4769</v>
      </c>
      <c r="B2161">
        <v>408862</v>
      </c>
    </row>
    <row r="2162" spans="1:2" x14ac:dyDescent="0.25">
      <c r="A2162" t="s">
        <v>4770</v>
      </c>
      <c r="B2162">
        <v>139755</v>
      </c>
    </row>
    <row r="2163" spans="1:2" x14ac:dyDescent="0.25">
      <c r="A2163" t="s">
        <v>4771</v>
      </c>
      <c r="B2163">
        <v>485111</v>
      </c>
    </row>
    <row r="2164" spans="1:2" x14ac:dyDescent="0.25">
      <c r="A2164" t="s">
        <v>4772</v>
      </c>
      <c r="B2164">
        <v>139384</v>
      </c>
    </row>
    <row r="2165" spans="1:2" x14ac:dyDescent="0.25">
      <c r="A2165" t="s">
        <v>4773</v>
      </c>
      <c r="B2165">
        <v>244446</v>
      </c>
    </row>
    <row r="2166" spans="1:2" x14ac:dyDescent="0.25">
      <c r="A2166" t="s">
        <v>4774</v>
      </c>
      <c r="B2166">
        <v>139931</v>
      </c>
    </row>
    <row r="2167" spans="1:2" x14ac:dyDescent="0.25">
      <c r="A2167" t="s">
        <v>4775</v>
      </c>
      <c r="B2167">
        <v>139764</v>
      </c>
    </row>
    <row r="2168" spans="1:2" x14ac:dyDescent="0.25">
      <c r="A2168" t="s">
        <v>4776</v>
      </c>
      <c r="B2168">
        <v>139940</v>
      </c>
    </row>
    <row r="2169" spans="1:2" x14ac:dyDescent="0.25">
      <c r="A2169" t="s">
        <v>4777</v>
      </c>
      <c r="B2169">
        <v>244437</v>
      </c>
    </row>
    <row r="2170" spans="1:2" x14ac:dyDescent="0.25">
      <c r="A2170" t="s">
        <v>4778</v>
      </c>
      <c r="B2170">
        <v>184773</v>
      </c>
    </row>
    <row r="2171" spans="1:2" x14ac:dyDescent="0.25">
      <c r="A2171" t="s">
        <v>4779</v>
      </c>
      <c r="B2171">
        <v>202888</v>
      </c>
    </row>
    <row r="2172" spans="1:2" x14ac:dyDescent="0.25">
      <c r="A2172" t="s">
        <v>4780</v>
      </c>
      <c r="B2172">
        <v>232195</v>
      </c>
    </row>
    <row r="2173" spans="1:2" x14ac:dyDescent="0.25">
      <c r="A2173" t="s">
        <v>4781</v>
      </c>
      <c r="B2173">
        <v>212674</v>
      </c>
    </row>
    <row r="2174" spans="1:2" x14ac:dyDescent="0.25">
      <c r="A2174" t="s">
        <v>4782</v>
      </c>
      <c r="B2174">
        <v>494551</v>
      </c>
    </row>
    <row r="2175" spans="1:2" x14ac:dyDescent="0.25">
      <c r="A2175" t="s">
        <v>4783</v>
      </c>
      <c r="B2175">
        <v>235307</v>
      </c>
    </row>
    <row r="2176" spans="1:2" x14ac:dyDescent="0.25">
      <c r="A2176" t="s">
        <v>4784</v>
      </c>
      <c r="B2176">
        <v>169974</v>
      </c>
    </row>
    <row r="2177" spans="1:2" x14ac:dyDescent="0.25">
      <c r="A2177" t="s">
        <v>4785</v>
      </c>
      <c r="B2177">
        <v>115010</v>
      </c>
    </row>
    <row r="2178" spans="1:2" x14ac:dyDescent="0.25">
      <c r="A2178" t="s">
        <v>4786</v>
      </c>
      <c r="B2178">
        <v>497338</v>
      </c>
    </row>
    <row r="2179" spans="1:2" x14ac:dyDescent="0.25">
      <c r="A2179" t="s">
        <v>4787</v>
      </c>
      <c r="B2179">
        <v>104708</v>
      </c>
    </row>
    <row r="2180" spans="1:2" x14ac:dyDescent="0.25">
      <c r="A2180" t="s">
        <v>4787</v>
      </c>
      <c r="B2180">
        <v>115001</v>
      </c>
    </row>
    <row r="2181" spans="1:2" x14ac:dyDescent="0.25">
      <c r="A2181" t="s">
        <v>4788</v>
      </c>
      <c r="B2181">
        <v>237385</v>
      </c>
    </row>
    <row r="2182" spans="1:2" x14ac:dyDescent="0.25">
      <c r="A2182" t="s">
        <v>4789</v>
      </c>
      <c r="B2182">
        <v>488651</v>
      </c>
    </row>
    <row r="2183" spans="1:2" x14ac:dyDescent="0.25">
      <c r="A2183" t="s">
        <v>4790</v>
      </c>
      <c r="B2183">
        <v>492935</v>
      </c>
    </row>
    <row r="2184" spans="1:2" x14ac:dyDescent="0.25">
      <c r="A2184" t="s">
        <v>4791</v>
      </c>
      <c r="B2184">
        <v>493521</v>
      </c>
    </row>
    <row r="2185" spans="1:2" x14ac:dyDescent="0.25">
      <c r="A2185" t="s">
        <v>4792</v>
      </c>
      <c r="B2185">
        <v>449384</v>
      </c>
    </row>
    <row r="2186" spans="1:2" x14ac:dyDescent="0.25">
      <c r="A2186" t="s">
        <v>4793</v>
      </c>
      <c r="B2186">
        <v>230889</v>
      </c>
    </row>
    <row r="2187" spans="1:2" x14ac:dyDescent="0.25">
      <c r="A2187" t="s">
        <v>4794</v>
      </c>
      <c r="B2187">
        <v>202903</v>
      </c>
    </row>
    <row r="2188" spans="1:2" x14ac:dyDescent="0.25">
      <c r="A2188" t="s">
        <v>4795</v>
      </c>
      <c r="B2188">
        <v>169992</v>
      </c>
    </row>
    <row r="2189" spans="1:2" x14ac:dyDescent="0.25">
      <c r="A2189" t="s">
        <v>4796</v>
      </c>
      <c r="B2189">
        <v>115083</v>
      </c>
    </row>
    <row r="2190" spans="1:2" x14ac:dyDescent="0.25">
      <c r="A2190" t="s">
        <v>4797</v>
      </c>
      <c r="B2190">
        <v>115126</v>
      </c>
    </row>
    <row r="2191" spans="1:2" x14ac:dyDescent="0.25">
      <c r="A2191" t="s">
        <v>4798</v>
      </c>
      <c r="B2191">
        <v>130989</v>
      </c>
    </row>
    <row r="2192" spans="1:2" x14ac:dyDescent="0.25">
      <c r="A2192" t="s">
        <v>4799</v>
      </c>
      <c r="B2192">
        <v>235316</v>
      </c>
    </row>
    <row r="2193" spans="1:2" x14ac:dyDescent="0.25">
      <c r="A2193" t="s">
        <v>4800</v>
      </c>
      <c r="B2193">
        <v>202912</v>
      </c>
    </row>
    <row r="2194" spans="1:2" x14ac:dyDescent="0.25">
      <c r="A2194" t="s">
        <v>4801</v>
      </c>
      <c r="B2194">
        <v>492281</v>
      </c>
    </row>
    <row r="2195" spans="1:2" x14ac:dyDescent="0.25">
      <c r="A2195" t="s">
        <v>4802</v>
      </c>
      <c r="B2195">
        <v>129154</v>
      </c>
    </row>
    <row r="2196" spans="1:2" x14ac:dyDescent="0.25">
      <c r="A2196" t="s">
        <v>4803</v>
      </c>
      <c r="B2196">
        <v>165936</v>
      </c>
    </row>
    <row r="2197" spans="1:2" x14ac:dyDescent="0.25">
      <c r="A2197" t="s">
        <v>4804</v>
      </c>
      <c r="B2197">
        <v>375683</v>
      </c>
    </row>
    <row r="2198" spans="1:2" x14ac:dyDescent="0.25">
      <c r="A2198" t="s">
        <v>4805</v>
      </c>
      <c r="B2198">
        <v>139968</v>
      </c>
    </row>
    <row r="2199" spans="1:2" x14ac:dyDescent="0.25">
      <c r="A2199" t="s">
        <v>4806</v>
      </c>
      <c r="B2199">
        <v>165945</v>
      </c>
    </row>
    <row r="2200" spans="1:2" x14ac:dyDescent="0.25">
      <c r="A2200" t="s">
        <v>4807</v>
      </c>
      <c r="B2200">
        <v>150668</v>
      </c>
    </row>
    <row r="2201" spans="1:2" x14ac:dyDescent="0.25">
      <c r="A2201" t="s">
        <v>4808</v>
      </c>
      <c r="B2201">
        <v>491729</v>
      </c>
    </row>
    <row r="2202" spans="1:2" x14ac:dyDescent="0.25">
      <c r="A2202" t="s">
        <v>4809</v>
      </c>
      <c r="B2202">
        <v>162654</v>
      </c>
    </row>
    <row r="2203" spans="1:2" x14ac:dyDescent="0.25">
      <c r="A2203" t="s">
        <v>4810</v>
      </c>
      <c r="B2203">
        <v>486530</v>
      </c>
    </row>
    <row r="2204" spans="1:2" x14ac:dyDescent="0.25">
      <c r="A2204" t="s">
        <v>4810</v>
      </c>
      <c r="B2204">
        <v>493150</v>
      </c>
    </row>
    <row r="2205" spans="1:2" x14ac:dyDescent="0.25">
      <c r="A2205" t="s">
        <v>4811</v>
      </c>
      <c r="B2205">
        <v>145336</v>
      </c>
    </row>
    <row r="2206" spans="1:2" x14ac:dyDescent="0.25">
      <c r="A2206" t="s">
        <v>4812</v>
      </c>
      <c r="B2206">
        <v>363679</v>
      </c>
    </row>
    <row r="2207" spans="1:2" x14ac:dyDescent="0.25">
      <c r="A2207" t="s">
        <v>4813</v>
      </c>
      <c r="B2207">
        <v>170000</v>
      </c>
    </row>
    <row r="2208" spans="1:2" x14ac:dyDescent="0.25">
      <c r="A2208" t="s">
        <v>4814</v>
      </c>
      <c r="B2208">
        <v>150677</v>
      </c>
    </row>
    <row r="2209" spans="1:2" x14ac:dyDescent="0.25">
      <c r="A2209" t="s">
        <v>4815</v>
      </c>
      <c r="B2209">
        <v>483841</v>
      </c>
    </row>
    <row r="2210" spans="1:2" x14ac:dyDescent="0.25">
      <c r="A2210" t="s">
        <v>4816</v>
      </c>
      <c r="B2210">
        <v>481058</v>
      </c>
    </row>
    <row r="2211" spans="1:2" x14ac:dyDescent="0.25">
      <c r="A2211" t="s">
        <v>4817</v>
      </c>
      <c r="B2211">
        <v>481401</v>
      </c>
    </row>
    <row r="2212" spans="1:2" x14ac:dyDescent="0.25">
      <c r="A2212" t="s">
        <v>4818</v>
      </c>
      <c r="B2212">
        <v>153366</v>
      </c>
    </row>
    <row r="2213" spans="1:2" x14ac:dyDescent="0.25">
      <c r="A2213" t="s">
        <v>4819</v>
      </c>
      <c r="B2213">
        <v>115214</v>
      </c>
    </row>
    <row r="2214" spans="1:2" x14ac:dyDescent="0.25">
      <c r="A2214" t="s">
        <v>4820</v>
      </c>
      <c r="B2214">
        <v>139746</v>
      </c>
    </row>
    <row r="2215" spans="1:2" x14ac:dyDescent="0.25">
      <c r="A2215" t="s">
        <v>4821</v>
      </c>
      <c r="B2215">
        <v>145354</v>
      </c>
    </row>
    <row r="2216" spans="1:2" x14ac:dyDescent="0.25">
      <c r="A2216" t="s">
        <v>4822</v>
      </c>
      <c r="B2216">
        <v>159009</v>
      </c>
    </row>
    <row r="2217" spans="1:2" x14ac:dyDescent="0.25">
      <c r="A2217" t="s">
        <v>4823</v>
      </c>
      <c r="B2217">
        <v>104717</v>
      </c>
    </row>
    <row r="2218" spans="1:2" x14ac:dyDescent="0.25">
      <c r="A2218" t="s">
        <v>4824</v>
      </c>
      <c r="B2218">
        <v>170055</v>
      </c>
    </row>
    <row r="2219" spans="1:2" x14ac:dyDescent="0.25">
      <c r="A2219" t="s">
        <v>4825</v>
      </c>
      <c r="B2219">
        <v>176983</v>
      </c>
    </row>
    <row r="2220" spans="1:2" x14ac:dyDescent="0.25">
      <c r="A2220" t="s">
        <v>4826</v>
      </c>
      <c r="B2220">
        <v>170082</v>
      </c>
    </row>
    <row r="2221" spans="1:2" x14ac:dyDescent="0.25">
      <c r="A2221" t="s">
        <v>4827</v>
      </c>
      <c r="B2221">
        <v>153375</v>
      </c>
    </row>
    <row r="2222" spans="1:2" x14ac:dyDescent="0.25">
      <c r="A2222" t="s">
        <v>4828</v>
      </c>
      <c r="B2222">
        <v>183257</v>
      </c>
    </row>
    <row r="2223" spans="1:2" x14ac:dyDescent="0.25">
      <c r="A2223" t="s">
        <v>4829</v>
      </c>
      <c r="B2223">
        <v>442569</v>
      </c>
    </row>
    <row r="2224" spans="1:2" x14ac:dyDescent="0.25">
      <c r="A2224" t="s">
        <v>4830</v>
      </c>
      <c r="B2224">
        <v>212771</v>
      </c>
    </row>
    <row r="2225" spans="1:2" x14ac:dyDescent="0.25">
      <c r="A2225" t="s">
        <v>4831</v>
      </c>
      <c r="B2225">
        <v>235334</v>
      </c>
    </row>
    <row r="2226" spans="1:2" x14ac:dyDescent="0.25">
      <c r="A2226" t="s">
        <v>4832</v>
      </c>
      <c r="B2226">
        <v>225070</v>
      </c>
    </row>
    <row r="2227" spans="1:2" x14ac:dyDescent="0.25">
      <c r="A2227" t="s">
        <v>4833</v>
      </c>
      <c r="B2227">
        <v>182306</v>
      </c>
    </row>
    <row r="2228" spans="1:2" x14ac:dyDescent="0.25">
      <c r="A2228" t="s">
        <v>4834</v>
      </c>
      <c r="B2228">
        <v>183150</v>
      </c>
    </row>
    <row r="2229" spans="1:2" x14ac:dyDescent="0.25">
      <c r="A2229" t="s">
        <v>4835</v>
      </c>
      <c r="B2229">
        <v>180249</v>
      </c>
    </row>
    <row r="2230" spans="1:2" x14ac:dyDescent="0.25">
      <c r="A2230" t="s">
        <v>4836</v>
      </c>
      <c r="B2230">
        <v>495110</v>
      </c>
    </row>
    <row r="2231" spans="1:2" x14ac:dyDescent="0.25">
      <c r="A2231" t="s">
        <v>4837</v>
      </c>
      <c r="B2231">
        <v>170091</v>
      </c>
    </row>
    <row r="2232" spans="1:2" x14ac:dyDescent="0.25">
      <c r="A2232" t="s">
        <v>4838</v>
      </c>
      <c r="B2232">
        <v>213181</v>
      </c>
    </row>
    <row r="2233" spans="1:2" x14ac:dyDescent="0.25">
      <c r="A2233" t="s">
        <v>4839</v>
      </c>
      <c r="B2233">
        <v>497213</v>
      </c>
    </row>
    <row r="2234" spans="1:2" x14ac:dyDescent="0.25">
      <c r="A2234" t="s">
        <v>4840</v>
      </c>
      <c r="B2234">
        <v>202949</v>
      </c>
    </row>
    <row r="2235" spans="1:2" x14ac:dyDescent="0.25">
      <c r="A2235" t="s">
        <v>4841</v>
      </c>
      <c r="B2235">
        <v>364548</v>
      </c>
    </row>
    <row r="2236" spans="1:2" x14ac:dyDescent="0.25">
      <c r="A2236" t="s">
        <v>4842</v>
      </c>
      <c r="B2236">
        <v>383367</v>
      </c>
    </row>
    <row r="2237" spans="1:2" x14ac:dyDescent="0.25">
      <c r="A2237" t="s">
        <v>4843</v>
      </c>
      <c r="B2237">
        <v>418454</v>
      </c>
    </row>
    <row r="2238" spans="1:2" x14ac:dyDescent="0.25">
      <c r="A2238" t="s">
        <v>4844</v>
      </c>
      <c r="B2238">
        <v>382416</v>
      </c>
    </row>
    <row r="2239" spans="1:2" x14ac:dyDescent="0.25">
      <c r="A2239" t="s">
        <v>4845</v>
      </c>
      <c r="B2239">
        <v>428019</v>
      </c>
    </row>
    <row r="2240" spans="1:2" x14ac:dyDescent="0.25">
      <c r="A2240" t="s">
        <v>4846</v>
      </c>
      <c r="B2240">
        <v>235343</v>
      </c>
    </row>
    <row r="2241" spans="1:2" x14ac:dyDescent="0.25">
      <c r="A2241" t="s">
        <v>4847</v>
      </c>
      <c r="B2241">
        <v>260363</v>
      </c>
    </row>
    <row r="2242" spans="1:2" x14ac:dyDescent="0.25">
      <c r="A2242" t="s">
        <v>4848</v>
      </c>
      <c r="B2242">
        <v>365240</v>
      </c>
    </row>
    <row r="2243" spans="1:2" x14ac:dyDescent="0.25">
      <c r="A2243" t="s">
        <v>4849</v>
      </c>
      <c r="B2243">
        <v>165981</v>
      </c>
    </row>
    <row r="2244" spans="1:2" x14ac:dyDescent="0.25">
      <c r="A2244" t="s">
        <v>4850</v>
      </c>
      <c r="B2244">
        <v>198598</v>
      </c>
    </row>
    <row r="2245" spans="1:2" x14ac:dyDescent="0.25">
      <c r="A2245" t="s">
        <v>4851</v>
      </c>
      <c r="B2245">
        <v>218113</v>
      </c>
    </row>
    <row r="2246" spans="1:2" x14ac:dyDescent="0.25">
      <c r="A2246" t="s">
        <v>4852</v>
      </c>
      <c r="B2246">
        <v>145372</v>
      </c>
    </row>
    <row r="2247" spans="1:2" x14ac:dyDescent="0.25">
      <c r="A2247" t="s">
        <v>4853</v>
      </c>
      <c r="B2247">
        <v>153384</v>
      </c>
    </row>
    <row r="2248" spans="1:2" x14ac:dyDescent="0.25">
      <c r="A2248" t="s">
        <v>4854</v>
      </c>
      <c r="B2248">
        <v>115296</v>
      </c>
    </row>
    <row r="2249" spans="1:2" x14ac:dyDescent="0.25">
      <c r="A2249" t="s">
        <v>4855</v>
      </c>
      <c r="B2249">
        <v>115287</v>
      </c>
    </row>
    <row r="2250" spans="1:2" x14ac:dyDescent="0.25">
      <c r="A2250" t="s">
        <v>4856</v>
      </c>
      <c r="B2250">
        <v>212805</v>
      </c>
    </row>
    <row r="2251" spans="1:2" x14ac:dyDescent="0.25">
      <c r="A2251" t="s">
        <v>4857</v>
      </c>
      <c r="B2251">
        <v>240745</v>
      </c>
    </row>
    <row r="2252" spans="1:2" x14ac:dyDescent="0.25">
      <c r="A2252" t="s">
        <v>4858</v>
      </c>
      <c r="B2252">
        <v>198613</v>
      </c>
    </row>
    <row r="2253" spans="1:2" x14ac:dyDescent="0.25">
      <c r="A2253" t="s">
        <v>4859</v>
      </c>
      <c r="B2253">
        <v>198622</v>
      </c>
    </row>
    <row r="2254" spans="1:2" x14ac:dyDescent="0.25">
      <c r="A2254" t="s">
        <v>4860</v>
      </c>
      <c r="B2254">
        <v>134343</v>
      </c>
    </row>
    <row r="2255" spans="1:2" x14ac:dyDescent="0.25">
      <c r="A2255" t="s">
        <v>4861</v>
      </c>
      <c r="B2255">
        <v>139995</v>
      </c>
    </row>
    <row r="2256" spans="1:2" x14ac:dyDescent="0.25">
      <c r="A2256" t="s">
        <v>4862</v>
      </c>
      <c r="B2256">
        <v>459213</v>
      </c>
    </row>
    <row r="2257" spans="1:2" x14ac:dyDescent="0.25">
      <c r="A2257" t="s">
        <v>4863</v>
      </c>
      <c r="B2257">
        <v>173647</v>
      </c>
    </row>
    <row r="2258" spans="1:2" x14ac:dyDescent="0.25">
      <c r="A2258" t="s">
        <v>4864</v>
      </c>
      <c r="B2258">
        <v>159027</v>
      </c>
    </row>
    <row r="2259" spans="1:2" x14ac:dyDescent="0.25">
      <c r="A2259" t="s">
        <v>4865</v>
      </c>
      <c r="B2259">
        <v>436632</v>
      </c>
    </row>
    <row r="2260" spans="1:2" x14ac:dyDescent="0.25">
      <c r="A2260" t="s">
        <v>4866</v>
      </c>
      <c r="B2260">
        <v>140003</v>
      </c>
    </row>
    <row r="2261" spans="1:2" x14ac:dyDescent="0.25">
      <c r="A2261" t="s">
        <v>4867</v>
      </c>
      <c r="B2261">
        <v>444714</v>
      </c>
    </row>
    <row r="2262" spans="1:2" x14ac:dyDescent="0.25">
      <c r="A2262" t="s">
        <v>4868</v>
      </c>
      <c r="B2262">
        <v>425250</v>
      </c>
    </row>
    <row r="2263" spans="1:2" x14ac:dyDescent="0.25">
      <c r="A2263" t="s">
        <v>4869</v>
      </c>
      <c r="B2263">
        <v>490559</v>
      </c>
    </row>
    <row r="2264" spans="1:2" x14ac:dyDescent="0.25">
      <c r="A2264" t="s">
        <v>4870</v>
      </c>
      <c r="B2264">
        <v>140012</v>
      </c>
    </row>
    <row r="2265" spans="1:2" x14ac:dyDescent="0.25">
      <c r="A2265" t="s">
        <v>4871</v>
      </c>
      <c r="B2265">
        <v>212832</v>
      </c>
    </row>
    <row r="2266" spans="1:2" x14ac:dyDescent="0.25">
      <c r="A2266" t="s">
        <v>4872</v>
      </c>
      <c r="B2266">
        <v>102313</v>
      </c>
    </row>
    <row r="2267" spans="1:2" x14ac:dyDescent="0.25">
      <c r="A2267" t="s">
        <v>4873</v>
      </c>
      <c r="B2267">
        <v>383084</v>
      </c>
    </row>
    <row r="2268" spans="1:2" x14ac:dyDescent="0.25">
      <c r="A2268" t="s">
        <v>4874</v>
      </c>
      <c r="B2268">
        <v>495314</v>
      </c>
    </row>
    <row r="2269" spans="1:2" x14ac:dyDescent="0.25">
      <c r="A2269" t="s">
        <v>4875</v>
      </c>
      <c r="B2269">
        <v>162690</v>
      </c>
    </row>
    <row r="2270" spans="1:2" x14ac:dyDescent="0.25">
      <c r="A2270" t="s">
        <v>4876</v>
      </c>
      <c r="B2270">
        <v>163541</v>
      </c>
    </row>
    <row r="2271" spans="1:2" x14ac:dyDescent="0.25">
      <c r="A2271" t="s">
        <v>4877</v>
      </c>
      <c r="B2271">
        <v>436030</v>
      </c>
    </row>
    <row r="2272" spans="1:2" x14ac:dyDescent="0.25">
      <c r="A2272" t="s">
        <v>4878</v>
      </c>
      <c r="B2272">
        <v>488262</v>
      </c>
    </row>
    <row r="2273" spans="1:2" x14ac:dyDescent="0.25">
      <c r="A2273" t="s">
        <v>4879</v>
      </c>
      <c r="B2273">
        <v>496672</v>
      </c>
    </row>
    <row r="2274" spans="1:2" x14ac:dyDescent="0.25">
      <c r="A2274" t="s">
        <v>4880</v>
      </c>
      <c r="B2274">
        <v>447971</v>
      </c>
    </row>
    <row r="2275" spans="1:2" x14ac:dyDescent="0.25">
      <c r="A2275" t="s">
        <v>4881</v>
      </c>
      <c r="B2275">
        <v>145424</v>
      </c>
    </row>
    <row r="2276" spans="1:2" x14ac:dyDescent="0.25">
      <c r="A2276" t="s">
        <v>4881</v>
      </c>
      <c r="B2276">
        <v>367981</v>
      </c>
    </row>
    <row r="2277" spans="1:2" x14ac:dyDescent="0.25">
      <c r="A2277" t="s">
        <v>4882</v>
      </c>
      <c r="B2277">
        <v>145433</v>
      </c>
    </row>
    <row r="2278" spans="1:2" x14ac:dyDescent="0.25">
      <c r="A2278" t="s">
        <v>4883</v>
      </c>
      <c r="B2278">
        <v>367051</v>
      </c>
    </row>
    <row r="2279" spans="1:2" x14ac:dyDescent="0.25">
      <c r="A2279" t="s">
        <v>4884</v>
      </c>
      <c r="B2279">
        <v>198640</v>
      </c>
    </row>
    <row r="2280" spans="1:2" x14ac:dyDescent="0.25">
      <c r="A2280" t="s">
        <v>4885</v>
      </c>
      <c r="B2280">
        <v>225201</v>
      </c>
    </row>
    <row r="2281" spans="1:2" x14ac:dyDescent="0.25">
      <c r="A2281" t="s">
        <v>4886</v>
      </c>
      <c r="B2281">
        <v>191515</v>
      </c>
    </row>
    <row r="2282" spans="1:2" x14ac:dyDescent="0.25">
      <c r="A2282" t="s">
        <v>4887</v>
      </c>
      <c r="B2282">
        <v>173665</v>
      </c>
    </row>
    <row r="2283" spans="1:2" x14ac:dyDescent="0.25">
      <c r="A2283" t="s">
        <v>4888</v>
      </c>
      <c r="B2283">
        <v>232256</v>
      </c>
    </row>
    <row r="2284" spans="1:2" x14ac:dyDescent="0.25">
      <c r="A2284" t="s">
        <v>4889</v>
      </c>
      <c r="B2284">
        <v>166018</v>
      </c>
    </row>
    <row r="2285" spans="1:2" x14ac:dyDescent="0.25">
      <c r="A2285" t="s">
        <v>4890</v>
      </c>
      <c r="B2285">
        <v>232265</v>
      </c>
    </row>
    <row r="2286" spans="1:2" x14ac:dyDescent="0.25">
      <c r="A2286" t="s">
        <v>4891</v>
      </c>
      <c r="B2286">
        <v>369950</v>
      </c>
    </row>
    <row r="2287" spans="1:2" x14ac:dyDescent="0.25">
      <c r="A2287" t="s">
        <v>4892</v>
      </c>
      <c r="B2287">
        <v>455327</v>
      </c>
    </row>
    <row r="2288" spans="1:2" x14ac:dyDescent="0.25">
      <c r="A2288" t="s">
        <v>4893</v>
      </c>
      <c r="B2288">
        <v>202985</v>
      </c>
    </row>
    <row r="2289" spans="1:2" x14ac:dyDescent="0.25">
      <c r="A2289" t="s">
        <v>4894</v>
      </c>
      <c r="B2289">
        <v>177542</v>
      </c>
    </row>
    <row r="2290" spans="1:2" x14ac:dyDescent="0.25">
      <c r="A2290" t="s">
        <v>4895</v>
      </c>
      <c r="B2290">
        <v>150756</v>
      </c>
    </row>
    <row r="2291" spans="1:2" x14ac:dyDescent="0.25">
      <c r="A2291" t="s">
        <v>4896</v>
      </c>
      <c r="B2291">
        <v>212869</v>
      </c>
    </row>
    <row r="2292" spans="1:2" x14ac:dyDescent="0.25">
      <c r="A2292" t="s">
        <v>4897</v>
      </c>
      <c r="B2292">
        <v>107044</v>
      </c>
    </row>
    <row r="2293" spans="1:2" x14ac:dyDescent="0.25">
      <c r="A2293" t="s">
        <v>4898</v>
      </c>
      <c r="B2293">
        <v>225247</v>
      </c>
    </row>
    <row r="2294" spans="1:2" x14ac:dyDescent="0.25">
      <c r="A2294" t="s">
        <v>4899</v>
      </c>
      <c r="B2294">
        <v>162706</v>
      </c>
    </row>
    <row r="2295" spans="1:2" x14ac:dyDescent="0.25">
      <c r="A2295" t="s">
        <v>4900</v>
      </c>
      <c r="B2295">
        <v>490382</v>
      </c>
    </row>
    <row r="2296" spans="1:2" x14ac:dyDescent="0.25">
      <c r="A2296" t="s">
        <v>4901</v>
      </c>
      <c r="B2296">
        <v>212878</v>
      </c>
    </row>
    <row r="2297" spans="1:2" x14ac:dyDescent="0.25">
      <c r="A2297" t="s">
        <v>4902</v>
      </c>
      <c r="B2297">
        <v>446640</v>
      </c>
    </row>
    <row r="2298" spans="1:2" x14ac:dyDescent="0.25">
      <c r="A2298" t="s">
        <v>4903</v>
      </c>
      <c r="B2298">
        <v>177551</v>
      </c>
    </row>
    <row r="2299" spans="1:2" x14ac:dyDescent="0.25">
      <c r="A2299" t="s">
        <v>4904</v>
      </c>
      <c r="B2299">
        <v>129491</v>
      </c>
    </row>
    <row r="2300" spans="1:2" x14ac:dyDescent="0.25">
      <c r="A2300" t="s">
        <v>4905</v>
      </c>
      <c r="B2300">
        <v>115393</v>
      </c>
    </row>
    <row r="2301" spans="1:2" x14ac:dyDescent="0.25">
      <c r="A2301" t="s">
        <v>4906</v>
      </c>
      <c r="B2301">
        <v>191533</v>
      </c>
    </row>
    <row r="2302" spans="1:2" x14ac:dyDescent="0.25">
      <c r="A2302" t="s">
        <v>4907</v>
      </c>
      <c r="B2302">
        <v>166027</v>
      </c>
    </row>
    <row r="2303" spans="1:2" x14ac:dyDescent="0.25">
      <c r="A2303" t="s">
        <v>4908</v>
      </c>
      <c r="B2303">
        <v>115409</v>
      </c>
    </row>
    <row r="2304" spans="1:2" x14ac:dyDescent="0.25">
      <c r="A2304" t="s">
        <v>4909</v>
      </c>
      <c r="B2304">
        <v>155140</v>
      </c>
    </row>
    <row r="2305" spans="1:2" x14ac:dyDescent="0.25">
      <c r="A2305" t="s">
        <v>4910</v>
      </c>
      <c r="B2305">
        <v>417600</v>
      </c>
    </row>
    <row r="2306" spans="1:2" x14ac:dyDescent="0.25">
      <c r="A2306" t="s">
        <v>4911</v>
      </c>
      <c r="B2306">
        <v>181127</v>
      </c>
    </row>
    <row r="2307" spans="1:2" x14ac:dyDescent="0.25">
      <c r="A2307" t="s">
        <v>4912</v>
      </c>
      <c r="B2307">
        <v>176062</v>
      </c>
    </row>
    <row r="2308" spans="1:2" x14ac:dyDescent="0.25">
      <c r="A2308" t="s">
        <v>4913</v>
      </c>
      <c r="B2308">
        <v>111045</v>
      </c>
    </row>
    <row r="2309" spans="1:2" x14ac:dyDescent="0.25">
      <c r="A2309" t="s">
        <v>4914</v>
      </c>
      <c r="B2309">
        <v>212911</v>
      </c>
    </row>
    <row r="2310" spans="1:2" x14ac:dyDescent="0.25">
      <c r="A2310" t="s">
        <v>4915</v>
      </c>
      <c r="B2310">
        <v>383190</v>
      </c>
    </row>
    <row r="2311" spans="1:2" x14ac:dyDescent="0.25">
      <c r="A2311" t="s">
        <v>4916</v>
      </c>
      <c r="B2311">
        <v>141608</v>
      </c>
    </row>
    <row r="2312" spans="1:2" x14ac:dyDescent="0.25">
      <c r="A2312" t="s">
        <v>4917</v>
      </c>
      <c r="B2312">
        <v>460756</v>
      </c>
    </row>
    <row r="2313" spans="1:2" x14ac:dyDescent="0.25">
      <c r="A2313" t="s">
        <v>4918</v>
      </c>
      <c r="B2313">
        <v>141644</v>
      </c>
    </row>
    <row r="2314" spans="1:2" x14ac:dyDescent="0.25">
      <c r="A2314" t="s">
        <v>4919</v>
      </c>
      <c r="B2314">
        <v>153445</v>
      </c>
    </row>
    <row r="2315" spans="1:2" x14ac:dyDescent="0.25">
      <c r="A2315" t="s">
        <v>4920</v>
      </c>
      <c r="B2315">
        <v>155159</v>
      </c>
    </row>
    <row r="2316" spans="1:2" x14ac:dyDescent="0.25">
      <c r="A2316" t="s">
        <v>4920</v>
      </c>
      <c r="B2316">
        <v>478917</v>
      </c>
    </row>
    <row r="2317" spans="1:2" x14ac:dyDescent="0.25">
      <c r="A2317" t="s">
        <v>4921</v>
      </c>
      <c r="B2317">
        <v>198668</v>
      </c>
    </row>
    <row r="2318" spans="1:2" x14ac:dyDescent="0.25">
      <c r="A2318" t="s">
        <v>4922</v>
      </c>
      <c r="B2318">
        <v>156790</v>
      </c>
    </row>
    <row r="2319" spans="1:2" x14ac:dyDescent="0.25">
      <c r="A2319" t="s">
        <v>4923</v>
      </c>
      <c r="B2319">
        <v>173683</v>
      </c>
    </row>
    <row r="2320" spans="1:2" x14ac:dyDescent="0.25">
      <c r="A2320" t="s">
        <v>4924</v>
      </c>
      <c r="B2320">
        <v>418612</v>
      </c>
    </row>
    <row r="2321" spans="1:2" x14ac:dyDescent="0.25">
      <c r="A2321" t="s">
        <v>4925</v>
      </c>
      <c r="B2321">
        <v>490054</v>
      </c>
    </row>
    <row r="2322" spans="1:2" x14ac:dyDescent="0.25">
      <c r="A2322" t="s">
        <v>4926</v>
      </c>
      <c r="B2322">
        <v>439668</v>
      </c>
    </row>
    <row r="2323" spans="1:2" x14ac:dyDescent="0.25">
      <c r="A2323" t="s">
        <v>4927</v>
      </c>
      <c r="B2323">
        <v>247010</v>
      </c>
    </row>
    <row r="2324" spans="1:2" x14ac:dyDescent="0.25">
      <c r="A2324" t="s">
        <v>4928</v>
      </c>
      <c r="B2324">
        <v>455071</v>
      </c>
    </row>
    <row r="2325" spans="1:2" x14ac:dyDescent="0.25">
      <c r="A2325" t="s">
        <v>4929</v>
      </c>
      <c r="B2325">
        <v>454795</v>
      </c>
    </row>
    <row r="2326" spans="1:2" x14ac:dyDescent="0.25">
      <c r="A2326" t="s">
        <v>4930</v>
      </c>
      <c r="B2326">
        <v>441830</v>
      </c>
    </row>
    <row r="2327" spans="1:2" x14ac:dyDescent="0.25">
      <c r="A2327" t="s">
        <v>4931</v>
      </c>
      <c r="B2327">
        <v>456968</v>
      </c>
    </row>
    <row r="2328" spans="1:2" x14ac:dyDescent="0.25">
      <c r="A2328" t="s">
        <v>4932</v>
      </c>
      <c r="B2328">
        <v>493585</v>
      </c>
    </row>
    <row r="2329" spans="1:2" x14ac:dyDescent="0.25">
      <c r="A2329" t="s">
        <v>4933</v>
      </c>
      <c r="B2329">
        <v>450960</v>
      </c>
    </row>
    <row r="2330" spans="1:2" x14ac:dyDescent="0.25">
      <c r="A2330" t="s">
        <v>4934</v>
      </c>
      <c r="B2330">
        <v>446303</v>
      </c>
    </row>
    <row r="2331" spans="1:2" x14ac:dyDescent="0.25">
      <c r="A2331" t="s">
        <v>4934</v>
      </c>
      <c r="B2331">
        <v>481465</v>
      </c>
    </row>
    <row r="2332" spans="1:2" x14ac:dyDescent="0.25">
      <c r="A2332" t="s">
        <v>4935</v>
      </c>
      <c r="B2332">
        <v>493752</v>
      </c>
    </row>
    <row r="2333" spans="1:2" x14ac:dyDescent="0.25">
      <c r="A2333" t="s">
        <v>4936</v>
      </c>
      <c r="B2333">
        <v>384342</v>
      </c>
    </row>
    <row r="2334" spans="1:2" x14ac:dyDescent="0.25">
      <c r="A2334" t="s">
        <v>4937</v>
      </c>
      <c r="B2334">
        <v>166045</v>
      </c>
    </row>
    <row r="2335" spans="1:2" x14ac:dyDescent="0.25">
      <c r="A2335" t="s">
        <v>4938</v>
      </c>
      <c r="B2335">
        <v>145497</v>
      </c>
    </row>
    <row r="2336" spans="1:2" x14ac:dyDescent="0.25">
      <c r="A2336" t="s">
        <v>4939</v>
      </c>
      <c r="B2336">
        <v>203067</v>
      </c>
    </row>
    <row r="2337" spans="1:2" x14ac:dyDescent="0.25">
      <c r="A2337" t="s">
        <v>4940</v>
      </c>
      <c r="B2337">
        <v>203085</v>
      </c>
    </row>
    <row r="2338" spans="1:2" x14ac:dyDescent="0.25">
      <c r="A2338" t="s">
        <v>4941</v>
      </c>
      <c r="B2338">
        <v>180276</v>
      </c>
    </row>
    <row r="2339" spans="1:2" x14ac:dyDescent="0.25">
      <c r="A2339" t="s">
        <v>4942</v>
      </c>
      <c r="B2339">
        <v>191597</v>
      </c>
    </row>
    <row r="2340" spans="1:2" x14ac:dyDescent="0.25">
      <c r="A2340" t="s">
        <v>4943</v>
      </c>
      <c r="B2340">
        <v>166054</v>
      </c>
    </row>
    <row r="2341" spans="1:2" x14ac:dyDescent="0.25">
      <c r="A2341" t="s">
        <v>4944</v>
      </c>
      <c r="B2341">
        <v>481155</v>
      </c>
    </row>
    <row r="2342" spans="1:2" x14ac:dyDescent="0.25">
      <c r="A2342" t="s">
        <v>4945</v>
      </c>
      <c r="B2342">
        <v>156851</v>
      </c>
    </row>
    <row r="2343" spans="1:2" x14ac:dyDescent="0.25">
      <c r="A2343" t="s">
        <v>4946</v>
      </c>
      <c r="B2343">
        <v>107071</v>
      </c>
    </row>
    <row r="2344" spans="1:2" x14ac:dyDescent="0.25">
      <c r="A2344" t="s">
        <v>4947</v>
      </c>
      <c r="B2344">
        <v>107080</v>
      </c>
    </row>
    <row r="2345" spans="1:2" x14ac:dyDescent="0.25">
      <c r="A2345" t="s">
        <v>4948</v>
      </c>
      <c r="B2345">
        <v>173708</v>
      </c>
    </row>
    <row r="2346" spans="1:2" x14ac:dyDescent="0.25">
      <c r="A2346" t="s">
        <v>4949</v>
      </c>
      <c r="B2346">
        <v>431266</v>
      </c>
    </row>
    <row r="2347" spans="1:2" x14ac:dyDescent="0.25">
      <c r="A2347" t="s">
        <v>4950</v>
      </c>
      <c r="B2347">
        <v>170240</v>
      </c>
    </row>
    <row r="2348" spans="1:2" x14ac:dyDescent="0.25">
      <c r="A2348" t="s">
        <v>4951</v>
      </c>
      <c r="B2348">
        <v>198677</v>
      </c>
    </row>
    <row r="2349" spans="1:2" x14ac:dyDescent="0.25">
      <c r="A2349" t="s">
        <v>4952</v>
      </c>
      <c r="B2349">
        <v>101453</v>
      </c>
    </row>
    <row r="2350" spans="1:2" x14ac:dyDescent="0.25">
      <c r="A2350" t="s">
        <v>4953</v>
      </c>
      <c r="B2350">
        <v>235422</v>
      </c>
    </row>
    <row r="2351" spans="1:2" x14ac:dyDescent="0.25">
      <c r="A2351" t="s">
        <v>4954</v>
      </c>
      <c r="B2351">
        <v>214476</v>
      </c>
    </row>
    <row r="2352" spans="1:2" x14ac:dyDescent="0.25">
      <c r="A2352" t="s">
        <v>4955</v>
      </c>
      <c r="B2352">
        <v>431275</v>
      </c>
    </row>
    <row r="2353" spans="1:2" x14ac:dyDescent="0.25">
      <c r="A2353" t="s">
        <v>4956</v>
      </c>
      <c r="B2353">
        <v>191612</v>
      </c>
    </row>
    <row r="2354" spans="1:2" x14ac:dyDescent="0.25">
      <c r="A2354" t="s">
        <v>4957</v>
      </c>
      <c r="B2354">
        <v>200785</v>
      </c>
    </row>
    <row r="2355" spans="1:2" x14ac:dyDescent="0.25">
      <c r="A2355" t="s">
        <v>4958</v>
      </c>
      <c r="B2355">
        <v>140340</v>
      </c>
    </row>
    <row r="2356" spans="1:2" x14ac:dyDescent="0.25">
      <c r="A2356" t="s">
        <v>4959</v>
      </c>
      <c r="B2356">
        <v>101365</v>
      </c>
    </row>
    <row r="2357" spans="1:2" x14ac:dyDescent="0.25">
      <c r="A2357" t="s">
        <v>4960</v>
      </c>
      <c r="B2357">
        <v>459851</v>
      </c>
    </row>
    <row r="2358" spans="1:2" x14ac:dyDescent="0.25">
      <c r="A2358" t="s">
        <v>4961</v>
      </c>
      <c r="B2358">
        <v>459842</v>
      </c>
    </row>
    <row r="2359" spans="1:2" x14ac:dyDescent="0.25">
      <c r="A2359" t="s">
        <v>4962</v>
      </c>
      <c r="B2359">
        <v>240392</v>
      </c>
    </row>
    <row r="2360" spans="1:2" x14ac:dyDescent="0.25">
      <c r="A2360" t="s">
        <v>4963</v>
      </c>
      <c r="B2360">
        <v>174154</v>
      </c>
    </row>
    <row r="2361" spans="1:2" x14ac:dyDescent="0.25">
      <c r="A2361" t="s">
        <v>4964</v>
      </c>
      <c r="B2361">
        <v>433536</v>
      </c>
    </row>
    <row r="2362" spans="1:2" x14ac:dyDescent="0.25">
      <c r="A2362" t="s">
        <v>4965</v>
      </c>
      <c r="B2362">
        <v>386472</v>
      </c>
    </row>
    <row r="2363" spans="1:2" x14ac:dyDescent="0.25">
      <c r="A2363" t="s">
        <v>4966</v>
      </c>
      <c r="B2363">
        <v>496973</v>
      </c>
    </row>
    <row r="2364" spans="1:2" x14ac:dyDescent="0.25">
      <c r="A2364" t="s">
        <v>4967</v>
      </c>
      <c r="B2364">
        <v>155177</v>
      </c>
    </row>
    <row r="2365" spans="1:2" x14ac:dyDescent="0.25">
      <c r="A2365" t="s">
        <v>4968</v>
      </c>
      <c r="B2365">
        <v>173735</v>
      </c>
    </row>
    <row r="2366" spans="1:2" x14ac:dyDescent="0.25">
      <c r="A2366" t="s">
        <v>4969</v>
      </c>
      <c r="B2366">
        <v>484002</v>
      </c>
    </row>
    <row r="2367" spans="1:2" x14ac:dyDescent="0.25">
      <c r="A2367" t="s">
        <v>4970</v>
      </c>
      <c r="B2367">
        <v>208053</v>
      </c>
    </row>
    <row r="2368" spans="1:2" x14ac:dyDescent="0.25">
      <c r="A2368" t="s">
        <v>4971</v>
      </c>
      <c r="B2368">
        <v>198695</v>
      </c>
    </row>
    <row r="2369" spans="1:2" x14ac:dyDescent="0.25">
      <c r="A2369" t="s">
        <v>4972</v>
      </c>
      <c r="B2369">
        <v>485403</v>
      </c>
    </row>
    <row r="2370" spans="1:2" x14ac:dyDescent="0.25">
      <c r="A2370" t="s">
        <v>4973</v>
      </c>
      <c r="B2370">
        <v>145521</v>
      </c>
    </row>
    <row r="2371" spans="1:2" x14ac:dyDescent="0.25">
      <c r="A2371" t="s">
        <v>4973</v>
      </c>
      <c r="B2371">
        <v>155186</v>
      </c>
    </row>
    <row r="2372" spans="1:2" x14ac:dyDescent="0.25">
      <c r="A2372" t="s">
        <v>4974</v>
      </c>
      <c r="B2372">
        <v>180081</v>
      </c>
    </row>
    <row r="2373" spans="1:2" x14ac:dyDescent="0.25">
      <c r="A2373" t="s">
        <v>4975</v>
      </c>
      <c r="B2373">
        <v>235583</v>
      </c>
    </row>
    <row r="2374" spans="1:2" x14ac:dyDescent="0.25">
      <c r="A2374" t="s">
        <v>4975</v>
      </c>
      <c r="B2374">
        <v>407708</v>
      </c>
    </row>
    <row r="2375" spans="1:2" x14ac:dyDescent="0.25">
      <c r="A2375" t="s">
        <v>4976</v>
      </c>
      <c r="B2375">
        <v>235431</v>
      </c>
    </row>
    <row r="2376" spans="1:2" x14ac:dyDescent="0.25">
      <c r="A2376" t="s">
        <v>4977</v>
      </c>
      <c r="B2376">
        <v>191621</v>
      </c>
    </row>
    <row r="2377" spans="1:2" x14ac:dyDescent="0.25">
      <c r="A2377" t="s">
        <v>4978</v>
      </c>
      <c r="B2377">
        <v>225371</v>
      </c>
    </row>
    <row r="2378" spans="1:2" x14ac:dyDescent="0.25">
      <c r="A2378" t="s">
        <v>4979</v>
      </c>
      <c r="B2378">
        <v>134495</v>
      </c>
    </row>
    <row r="2379" spans="1:2" x14ac:dyDescent="0.25">
      <c r="A2379" t="s">
        <v>4980</v>
      </c>
      <c r="B2379">
        <v>168555</v>
      </c>
    </row>
    <row r="2380" spans="1:2" x14ac:dyDescent="0.25">
      <c r="A2380" t="s">
        <v>4981</v>
      </c>
      <c r="B2380">
        <v>170286</v>
      </c>
    </row>
    <row r="2381" spans="1:2" x14ac:dyDescent="0.25">
      <c r="A2381" t="s">
        <v>4982</v>
      </c>
      <c r="B2381">
        <v>115658</v>
      </c>
    </row>
    <row r="2382" spans="1:2" x14ac:dyDescent="0.25">
      <c r="A2382" t="s">
        <v>4983</v>
      </c>
      <c r="B2382">
        <v>175786</v>
      </c>
    </row>
    <row r="2383" spans="1:2" x14ac:dyDescent="0.25">
      <c r="A2383" t="s">
        <v>4984</v>
      </c>
      <c r="B2383">
        <v>480000</v>
      </c>
    </row>
    <row r="2384" spans="1:2" x14ac:dyDescent="0.25">
      <c r="A2384" t="s">
        <v>4985</v>
      </c>
      <c r="B2384">
        <v>203128</v>
      </c>
    </row>
    <row r="2385" spans="1:2" x14ac:dyDescent="0.25">
      <c r="A2385" t="s">
        <v>4986</v>
      </c>
      <c r="B2385">
        <v>203146</v>
      </c>
    </row>
    <row r="2386" spans="1:2" x14ac:dyDescent="0.25">
      <c r="A2386" t="s">
        <v>4987</v>
      </c>
      <c r="B2386">
        <v>191630</v>
      </c>
    </row>
    <row r="2387" spans="1:2" x14ac:dyDescent="0.25">
      <c r="A2387" t="s">
        <v>4988</v>
      </c>
      <c r="B2387">
        <v>134510</v>
      </c>
    </row>
    <row r="2388" spans="1:2" x14ac:dyDescent="0.25">
      <c r="A2388" t="s">
        <v>4989</v>
      </c>
      <c r="B2388">
        <v>203155</v>
      </c>
    </row>
    <row r="2389" spans="1:2" x14ac:dyDescent="0.25">
      <c r="A2389" t="s">
        <v>4990</v>
      </c>
      <c r="B2389">
        <v>367884</v>
      </c>
    </row>
    <row r="2390" spans="1:2" x14ac:dyDescent="0.25">
      <c r="A2390" t="s">
        <v>4991</v>
      </c>
      <c r="B2390">
        <v>191649</v>
      </c>
    </row>
    <row r="2391" spans="1:2" x14ac:dyDescent="0.25">
      <c r="A2391" t="s">
        <v>4992</v>
      </c>
      <c r="B2391">
        <v>490407</v>
      </c>
    </row>
    <row r="2392" spans="1:2" x14ac:dyDescent="0.25">
      <c r="A2392" t="s">
        <v>4993</v>
      </c>
      <c r="B2392">
        <v>184746</v>
      </c>
    </row>
    <row r="2393" spans="1:2" x14ac:dyDescent="0.25">
      <c r="A2393" t="s">
        <v>4994</v>
      </c>
      <c r="B2393">
        <v>461379</v>
      </c>
    </row>
    <row r="2394" spans="1:2" x14ac:dyDescent="0.25">
      <c r="A2394" t="s">
        <v>4995</v>
      </c>
      <c r="B2394">
        <v>232308</v>
      </c>
    </row>
    <row r="2395" spans="1:2" x14ac:dyDescent="0.25">
      <c r="A2395" t="s">
        <v>4996</v>
      </c>
      <c r="B2395">
        <v>495174</v>
      </c>
    </row>
    <row r="2396" spans="1:2" x14ac:dyDescent="0.25">
      <c r="A2396" t="s">
        <v>4997</v>
      </c>
      <c r="B2396">
        <v>443234</v>
      </c>
    </row>
    <row r="2397" spans="1:2" x14ac:dyDescent="0.25">
      <c r="A2397" t="s">
        <v>4998</v>
      </c>
      <c r="B2397">
        <v>134529</v>
      </c>
    </row>
    <row r="2398" spans="1:2" x14ac:dyDescent="0.25">
      <c r="A2398" t="s">
        <v>4999</v>
      </c>
      <c r="B2398">
        <v>485388</v>
      </c>
    </row>
    <row r="2399" spans="1:2" x14ac:dyDescent="0.25">
      <c r="A2399" t="s">
        <v>5000</v>
      </c>
      <c r="B2399">
        <v>485379</v>
      </c>
    </row>
    <row r="2400" spans="1:2" x14ac:dyDescent="0.25">
      <c r="A2400" t="s">
        <v>5001</v>
      </c>
      <c r="B2400">
        <v>175810</v>
      </c>
    </row>
    <row r="2401" spans="1:2" x14ac:dyDescent="0.25">
      <c r="A2401" t="s">
        <v>5002</v>
      </c>
      <c r="B2401">
        <v>129534</v>
      </c>
    </row>
    <row r="2402" spans="1:2" x14ac:dyDescent="0.25">
      <c r="A2402" t="s">
        <v>5003</v>
      </c>
      <c r="B2402">
        <v>150774</v>
      </c>
    </row>
    <row r="2403" spans="1:2" x14ac:dyDescent="0.25">
      <c r="A2403" t="s">
        <v>5004</v>
      </c>
      <c r="B2403">
        <v>212984</v>
      </c>
    </row>
    <row r="2404" spans="1:2" x14ac:dyDescent="0.25">
      <c r="A2404" t="s">
        <v>5005</v>
      </c>
      <c r="B2404">
        <v>184968</v>
      </c>
    </row>
    <row r="2405" spans="1:2" x14ac:dyDescent="0.25">
      <c r="A2405" t="s">
        <v>5006</v>
      </c>
      <c r="B2405">
        <v>115728</v>
      </c>
    </row>
    <row r="2406" spans="1:2" x14ac:dyDescent="0.25">
      <c r="A2406" t="s">
        <v>5007</v>
      </c>
      <c r="B2406">
        <v>166133</v>
      </c>
    </row>
    <row r="2407" spans="1:2" x14ac:dyDescent="0.25">
      <c r="A2407" t="s">
        <v>5008</v>
      </c>
      <c r="B2407">
        <v>457086</v>
      </c>
    </row>
    <row r="2408" spans="1:2" x14ac:dyDescent="0.25">
      <c r="A2408" t="s">
        <v>5009</v>
      </c>
      <c r="B2408">
        <v>203386</v>
      </c>
    </row>
    <row r="2409" spans="1:2" x14ac:dyDescent="0.25">
      <c r="A2409" t="s">
        <v>5010</v>
      </c>
      <c r="B2409">
        <v>141680</v>
      </c>
    </row>
    <row r="2410" spans="1:2" x14ac:dyDescent="0.25">
      <c r="A2410" t="s">
        <v>5011</v>
      </c>
      <c r="B2410">
        <v>162760</v>
      </c>
    </row>
    <row r="2411" spans="1:2" x14ac:dyDescent="0.25">
      <c r="A2411" t="s">
        <v>5012</v>
      </c>
      <c r="B2411">
        <v>443076</v>
      </c>
    </row>
    <row r="2412" spans="1:2" x14ac:dyDescent="0.25">
      <c r="A2412" t="s">
        <v>5013</v>
      </c>
      <c r="B2412">
        <v>170301</v>
      </c>
    </row>
    <row r="2413" spans="1:2" x14ac:dyDescent="0.25">
      <c r="A2413" t="s">
        <v>5014</v>
      </c>
      <c r="B2413">
        <v>488332</v>
      </c>
    </row>
    <row r="2414" spans="1:2" x14ac:dyDescent="0.25">
      <c r="A2414" t="s">
        <v>5015</v>
      </c>
      <c r="B2414">
        <v>120537</v>
      </c>
    </row>
    <row r="2415" spans="1:2" x14ac:dyDescent="0.25">
      <c r="A2415" t="s">
        <v>5016</v>
      </c>
      <c r="B2415">
        <v>156860</v>
      </c>
    </row>
    <row r="2416" spans="1:2" x14ac:dyDescent="0.25">
      <c r="A2416" t="s">
        <v>5017</v>
      </c>
      <c r="B2416">
        <v>457226</v>
      </c>
    </row>
    <row r="2417" spans="1:2" x14ac:dyDescent="0.25">
      <c r="A2417" t="s">
        <v>5018</v>
      </c>
      <c r="B2417">
        <v>218140</v>
      </c>
    </row>
    <row r="2418" spans="1:2" x14ac:dyDescent="0.25">
      <c r="A2418" t="s">
        <v>5019</v>
      </c>
      <c r="B2418">
        <v>488411</v>
      </c>
    </row>
    <row r="2419" spans="1:2" x14ac:dyDescent="0.25">
      <c r="A2419" t="s">
        <v>5020</v>
      </c>
      <c r="B2419">
        <v>107099</v>
      </c>
    </row>
    <row r="2420" spans="1:2" x14ac:dyDescent="0.25">
      <c r="A2420" t="s">
        <v>5021</v>
      </c>
      <c r="B2420">
        <v>191676</v>
      </c>
    </row>
    <row r="2421" spans="1:2" x14ac:dyDescent="0.25">
      <c r="A2421" t="s">
        <v>5022</v>
      </c>
      <c r="B2421">
        <v>129543</v>
      </c>
    </row>
    <row r="2422" spans="1:2" x14ac:dyDescent="0.25">
      <c r="A2422" t="s">
        <v>5023</v>
      </c>
      <c r="B2422">
        <v>176716</v>
      </c>
    </row>
    <row r="2423" spans="1:2" x14ac:dyDescent="0.25">
      <c r="A2423" t="s">
        <v>5024</v>
      </c>
      <c r="B2423">
        <v>177588</v>
      </c>
    </row>
    <row r="2424" spans="1:2" x14ac:dyDescent="0.25">
      <c r="A2424" t="s">
        <v>5025</v>
      </c>
      <c r="B2424">
        <v>421771</v>
      </c>
    </row>
    <row r="2425" spans="1:2" x14ac:dyDescent="0.25">
      <c r="A2425" t="s">
        <v>5026</v>
      </c>
      <c r="B2425">
        <v>225399</v>
      </c>
    </row>
    <row r="2426" spans="1:2" x14ac:dyDescent="0.25">
      <c r="A2426" t="s">
        <v>5027</v>
      </c>
      <c r="B2426">
        <v>493743</v>
      </c>
    </row>
    <row r="2427" spans="1:2" x14ac:dyDescent="0.25">
      <c r="A2427" t="s">
        <v>5028</v>
      </c>
      <c r="B2427">
        <v>225423</v>
      </c>
    </row>
    <row r="2428" spans="1:2" x14ac:dyDescent="0.25">
      <c r="A2428" t="s">
        <v>5029</v>
      </c>
      <c r="B2428">
        <v>246345</v>
      </c>
    </row>
    <row r="2429" spans="1:2" x14ac:dyDescent="0.25">
      <c r="A2429" t="s">
        <v>5030</v>
      </c>
      <c r="B2429">
        <v>458034</v>
      </c>
    </row>
    <row r="2430" spans="1:2" x14ac:dyDescent="0.25">
      <c r="A2430" t="s">
        <v>5031</v>
      </c>
      <c r="B2430">
        <v>492157</v>
      </c>
    </row>
    <row r="2431" spans="1:2" x14ac:dyDescent="0.25">
      <c r="A2431" t="s">
        <v>5032</v>
      </c>
      <c r="B2431">
        <v>380067</v>
      </c>
    </row>
    <row r="2432" spans="1:2" x14ac:dyDescent="0.25">
      <c r="A2432" t="s">
        <v>5033</v>
      </c>
      <c r="B2432">
        <v>484996</v>
      </c>
    </row>
    <row r="2433" spans="1:2" x14ac:dyDescent="0.25">
      <c r="A2433" t="s">
        <v>5034</v>
      </c>
      <c r="B2433">
        <v>225520</v>
      </c>
    </row>
    <row r="2434" spans="1:2" x14ac:dyDescent="0.25">
      <c r="A2434" t="s">
        <v>5035</v>
      </c>
      <c r="B2434">
        <v>162779</v>
      </c>
    </row>
    <row r="2435" spans="1:2" x14ac:dyDescent="0.25">
      <c r="A2435" t="s">
        <v>5036</v>
      </c>
      <c r="B2435">
        <v>225548</v>
      </c>
    </row>
    <row r="2436" spans="1:2" x14ac:dyDescent="0.25">
      <c r="A2436" t="s">
        <v>5037</v>
      </c>
      <c r="B2436">
        <v>131520</v>
      </c>
    </row>
    <row r="2437" spans="1:2" x14ac:dyDescent="0.25">
      <c r="A2437" t="s">
        <v>5038</v>
      </c>
      <c r="B2437">
        <v>184995</v>
      </c>
    </row>
    <row r="2438" spans="1:2" x14ac:dyDescent="0.25">
      <c r="A2438" t="s">
        <v>5039</v>
      </c>
      <c r="B2438">
        <v>191719</v>
      </c>
    </row>
    <row r="2439" spans="1:2" x14ac:dyDescent="0.25">
      <c r="A2439" t="s">
        <v>5040</v>
      </c>
      <c r="B2439">
        <v>242112</v>
      </c>
    </row>
    <row r="2440" spans="1:2" x14ac:dyDescent="0.25">
      <c r="A2440" t="s">
        <v>5041</v>
      </c>
      <c r="B2440">
        <v>164368</v>
      </c>
    </row>
    <row r="2441" spans="1:2" x14ac:dyDescent="0.25">
      <c r="A2441" t="s">
        <v>5042</v>
      </c>
      <c r="B2441">
        <v>242121</v>
      </c>
    </row>
    <row r="2442" spans="1:2" x14ac:dyDescent="0.25">
      <c r="A2442" t="s">
        <v>5043</v>
      </c>
      <c r="B2442">
        <v>115773</v>
      </c>
    </row>
    <row r="2443" spans="1:2" x14ac:dyDescent="0.25">
      <c r="A2443" t="s">
        <v>5044</v>
      </c>
      <c r="B2443">
        <v>191728</v>
      </c>
    </row>
    <row r="2444" spans="1:2" x14ac:dyDescent="0.25">
      <c r="A2444" t="s">
        <v>5045</v>
      </c>
      <c r="B2444">
        <v>101435</v>
      </c>
    </row>
    <row r="2445" spans="1:2" x14ac:dyDescent="0.25">
      <c r="A2445" t="s">
        <v>5046</v>
      </c>
      <c r="B2445">
        <v>440217</v>
      </c>
    </row>
    <row r="2446" spans="1:2" x14ac:dyDescent="0.25">
      <c r="A2446" t="s">
        <v>5047</v>
      </c>
      <c r="B2446">
        <v>237437</v>
      </c>
    </row>
    <row r="2447" spans="1:2" x14ac:dyDescent="0.25">
      <c r="A2447" t="s">
        <v>5048</v>
      </c>
      <c r="B2447">
        <v>377643</v>
      </c>
    </row>
    <row r="2448" spans="1:2" x14ac:dyDescent="0.25">
      <c r="A2448" t="s">
        <v>5049</v>
      </c>
      <c r="B2448">
        <v>150941</v>
      </c>
    </row>
    <row r="2449" spans="1:2" x14ac:dyDescent="0.25">
      <c r="A2449" t="s">
        <v>5050</v>
      </c>
      <c r="B2449">
        <v>488068</v>
      </c>
    </row>
    <row r="2450" spans="1:2" x14ac:dyDescent="0.25">
      <c r="A2450" t="s">
        <v>5051</v>
      </c>
      <c r="B2450">
        <v>449348</v>
      </c>
    </row>
    <row r="2451" spans="1:2" x14ac:dyDescent="0.25">
      <c r="A2451" t="s">
        <v>5052</v>
      </c>
      <c r="B2451">
        <v>363439</v>
      </c>
    </row>
    <row r="2452" spans="1:2" x14ac:dyDescent="0.25">
      <c r="A2452" t="s">
        <v>5053</v>
      </c>
      <c r="B2452">
        <v>368443</v>
      </c>
    </row>
    <row r="2453" spans="1:2" x14ac:dyDescent="0.25">
      <c r="A2453" t="s">
        <v>5054</v>
      </c>
      <c r="B2453">
        <v>205559</v>
      </c>
    </row>
    <row r="2454" spans="1:2" x14ac:dyDescent="0.25">
      <c r="A2454" t="s">
        <v>5055</v>
      </c>
      <c r="B2454">
        <v>444255</v>
      </c>
    </row>
    <row r="2455" spans="1:2" x14ac:dyDescent="0.25">
      <c r="A2455" t="s">
        <v>5056</v>
      </c>
      <c r="B2455">
        <v>220002</v>
      </c>
    </row>
    <row r="2456" spans="1:2" x14ac:dyDescent="0.25">
      <c r="A2456" t="s">
        <v>5057</v>
      </c>
      <c r="B2456">
        <v>486965</v>
      </c>
    </row>
    <row r="2457" spans="1:2" x14ac:dyDescent="0.25">
      <c r="A2457" t="s">
        <v>5058</v>
      </c>
      <c r="B2457">
        <v>212993</v>
      </c>
    </row>
    <row r="2458" spans="1:2" x14ac:dyDescent="0.25">
      <c r="A2458" t="s">
        <v>5059</v>
      </c>
      <c r="B2458">
        <v>487524</v>
      </c>
    </row>
    <row r="2459" spans="1:2" x14ac:dyDescent="0.25">
      <c r="A2459" t="s">
        <v>5060</v>
      </c>
      <c r="B2459">
        <v>225575</v>
      </c>
    </row>
    <row r="2460" spans="1:2" x14ac:dyDescent="0.25">
      <c r="A2460" t="s">
        <v>5061</v>
      </c>
      <c r="B2460">
        <v>155195</v>
      </c>
    </row>
    <row r="2461" spans="1:2" x14ac:dyDescent="0.25">
      <c r="A2461" t="s">
        <v>5062</v>
      </c>
      <c r="B2461">
        <v>486345</v>
      </c>
    </row>
    <row r="2462" spans="1:2" x14ac:dyDescent="0.25">
      <c r="A2462" t="s">
        <v>5063</v>
      </c>
      <c r="B2462">
        <v>368771</v>
      </c>
    </row>
    <row r="2463" spans="1:2" x14ac:dyDescent="0.25">
      <c r="A2463" t="s">
        <v>5064</v>
      </c>
      <c r="B2463">
        <v>372329</v>
      </c>
    </row>
    <row r="2464" spans="1:2" x14ac:dyDescent="0.25">
      <c r="A2464" t="s">
        <v>5065</v>
      </c>
      <c r="B2464">
        <v>491738</v>
      </c>
    </row>
    <row r="2465" spans="1:2" x14ac:dyDescent="0.25">
      <c r="A2465" t="s">
        <v>5066</v>
      </c>
      <c r="B2465">
        <v>193405</v>
      </c>
    </row>
    <row r="2466" spans="1:2" x14ac:dyDescent="0.25">
      <c r="A2466" t="s">
        <v>5067</v>
      </c>
      <c r="B2466">
        <v>491659</v>
      </c>
    </row>
    <row r="2467" spans="1:2" x14ac:dyDescent="0.25">
      <c r="A2467" t="s">
        <v>5068</v>
      </c>
      <c r="B2467">
        <v>243841</v>
      </c>
    </row>
    <row r="2468" spans="1:2" x14ac:dyDescent="0.25">
      <c r="A2468" t="s">
        <v>5068</v>
      </c>
      <c r="B2468">
        <v>460677</v>
      </c>
    </row>
    <row r="2469" spans="1:2" x14ac:dyDescent="0.25">
      <c r="A2469" t="s">
        <v>5069</v>
      </c>
      <c r="B2469">
        <v>242130</v>
      </c>
    </row>
    <row r="2470" spans="1:2" x14ac:dyDescent="0.25">
      <c r="A2470" t="s">
        <v>5070</v>
      </c>
      <c r="B2470">
        <v>242149</v>
      </c>
    </row>
    <row r="2471" spans="1:2" x14ac:dyDescent="0.25">
      <c r="A2471" t="s">
        <v>5071</v>
      </c>
      <c r="B2471">
        <v>493947</v>
      </c>
    </row>
    <row r="2472" spans="1:2" x14ac:dyDescent="0.25">
      <c r="A2472" t="s">
        <v>5072</v>
      </c>
      <c r="B2472">
        <v>142276</v>
      </c>
    </row>
    <row r="2473" spans="1:2" x14ac:dyDescent="0.25">
      <c r="A2473" t="s">
        <v>5073</v>
      </c>
      <c r="B2473">
        <v>449597</v>
      </c>
    </row>
    <row r="2474" spans="1:2" x14ac:dyDescent="0.25">
      <c r="A2474" t="s">
        <v>5073</v>
      </c>
      <c r="B2474">
        <v>480161</v>
      </c>
    </row>
    <row r="2475" spans="1:2" x14ac:dyDescent="0.25">
      <c r="A2475" t="s">
        <v>5074</v>
      </c>
      <c r="B2475">
        <v>483780</v>
      </c>
    </row>
    <row r="2476" spans="1:2" x14ac:dyDescent="0.25">
      <c r="A2476" t="s">
        <v>5075</v>
      </c>
      <c r="B2476">
        <v>127273</v>
      </c>
    </row>
    <row r="2477" spans="1:2" x14ac:dyDescent="0.25">
      <c r="A2477" t="s">
        <v>5076</v>
      </c>
      <c r="B2477">
        <v>434584</v>
      </c>
    </row>
    <row r="2478" spans="1:2" x14ac:dyDescent="0.25">
      <c r="A2478" t="s">
        <v>5077</v>
      </c>
      <c r="B2478">
        <v>145682</v>
      </c>
    </row>
    <row r="2479" spans="1:2" x14ac:dyDescent="0.25">
      <c r="A2479" t="s">
        <v>5078</v>
      </c>
      <c r="B2479">
        <v>145691</v>
      </c>
    </row>
    <row r="2480" spans="1:2" x14ac:dyDescent="0.25">
      <c r="A2480" t="s">
        <v>5079</v>
      </c>
      <c r="B2480">
        <v>145628</v>
      </c>
    </row>
    <row r="2481" spans="1:2" x14ac:dyDescent="0.25">
      <c r="A2481" t="s">
        <v>5080</v>
      </c>
      <c r="B2481">
        <v>443368</v>
      </c>
    </row>
    <row r="2482" spans="1:2" x14ac:dyDescent="0.25">
      <c r="A2482" t="s">
        <v>5081</v>
      </c>
      <c r="B2482">
        <v>145725</v>
      </c>
    </row>
    <row r="2483" spans="1:2" x14ac:dyDescent="0.25">
      <c r="A2483" t="s">
        <v>5082</v>
      </c>
      <c r="B2483">
        <v>419253</v>
      </c>
    </row>
    <row r="2484" spans="1:2" x14ac:dyDescent="0.25">
      <c r="A2484" t="s">
        <v>5083</v>
      </c>
      <c r="B2484">
        <v>460145</v>
      </c>
    </row>
    <row r="2485" spans="1:2" x14ac:dyDescent="0.25">
      <c r="A2485" t="s">
        <v>5084</v>
      </c>
      <c r="B2485">
        <v>145813</v>
      </c>
    </row>
    <row r="2486" spans="1:2" x14ac:dyDescent="0.25">
      <c r="A2486" t="s">
        <v>5085</v>
      </c>
      <c r="B2486">
        <v>145831</v>
      </c>
    </row>
    <row r="2487" spans="1:2" x14ac:dyDescent="0.25">
      <c r="A2487" t="s">
        <v>5086</v>
      </c>
      <c r="B2487">
        <v>145646</v>
      </c>
    </row>
    <row r="2488" spans="1:2" x14ac:dyDescent="0.25">
      <c r="A2488" t="s">
        <v>5087</v>
      </c>
      <c r="B2488">
        <v>487922</v>
      </c>
    </row>
    <row r="2489" spans="1:2" x14ac:dyDescent="0.25">
      <c r="A2489" t="s">
        <v>5088</v>
      </c>
      <c r="B2489">
        <v>213011</v>
      </c>
    </row>
    <row r="2490" spans="1:2" x14ac:dyDescent="0.25">
      <c r="A2490" t="s">
        <v>5089</v>
      </c>
      <c r="B2490">
        <v>457387</v>
      </c>
    </row>
    <row r="2491" spans="1:2" x14ac:dyDescent="0.25">
      <c r="A2491" t="s">
        <v>5090</v>
      </c>
      <c r="B2491">
        <v>115861</v>
      </c>
    </row>
    <row r="2492" spans="1:2" x14ac:dyDescent="0.25">
      <c r="A2492" t="s">
        <v>5091</v>
      </c>
      <c r="B2492">
        <v>155201</v>
      </c>
    </row>
    <row r="2493" spans="1:2" x14ac:dyDescent="0.25">
      <c r="A2493" t="s">
        <v>5092</v>
      </c>
      <c r="B2493">
        <v>465812</v>
      </c>
    </row>
    <row r="2494" spans="1:2" x14ac:dyDescent="0.25">
      <c r="A2494" t="s">
        <v>5093</v>
      </c>
      <c r="B2494">
        <v>491880</v>
      </c>
    </row>
    <row r="2495" spans="1:2" x14ac:dyDescent="0.25">
      <c r="A2495" t="s">
        <v>5094</v>
      </c>
      <c r="B2495">
        <v>495280</v>
      </c>
    </row>
    <row r="2496" spans="1:2" x14ac:dyDescent="0.25">
      <c r="A2496" t="s">
        <v>5095</v>
      </c>
      <c r="B2496">
        <v>418296</v>
      </c>
    </row>
    <row r="2497" spans="1:2" x14ac:dyDescent="0.25">
      <c r="A2497" t="s">
        <v>5096</v>
      </c>
      <c r="B2497">
        <v>153472</v>
      </c>
    </row>
    <row r="2498" spans="1:2" x14ac:dyDescent="0.25">
      <c r="A2498" t="s">
        <v>5097</v>
      </c>
      <c r="B2498">
        <v>134608</v>
      </c>
    </row>
    <row r="2499" spans="1:2" x14ac:dyDescent="0.25">
      <c r="A2499" t="s">
        <v>5098</v>
      </c>
      <c r="B2499">
        <v>418560</v>
      </c>
    </row>
    <row r="2500" spans="1:2" x14ac:dyDescent="0.25">
      <c r="A2500" t="s">
        <v>5099</v>
      </c>
      <c r="B2500">
        <v>151290</v>
      </c>
    </row>
    <row r="2501" spans="1:2" x14ac:dyDescent="0.25">
      <c r="A2501" t="s">
        <v>5100</v>
      </c>
      <c r="B2501">
        <v>492962</v>
      </c>
    </row>
    <row r="2502" spans="1:2" x14ac:dyDescent="0.25">
      <c r="A2502" t="s">
        <v>5101</v>
      </c>
      <c r="B2502">
        <v>151324</v>
      </c>
    </row>
    <row r="2503" spans="1:2" x14ac:dyDescent="0.25">
      <c r="A2503" t="s">
        <v>5102</v>
      </c>
      <c r="B2503">
        <v>213020</v>
      </c>
    </row>
    <row r="2504" spans="1:2" x14ac:dyDescent="0.25">
      <c r="A2504" t="s">
        <v>5103</v>
      </c>
      <c r="B2504">
        <v>151351</v>
      </c>
    </row>
    <row r="2505" spans="1:2" x14ac:dyDescent="0.25">
      <c r="A2505" t="s">
        <v>5104</v>
      </c>
      <c r="B2505">
        <v>151388</v>
      </c>
    </row>
    <row r="2506" spans="1:2" x14ac:dyDescent="0.25">
      <c r="A2506" t="s">
        <v>5105</v>
      </c>
      <c r="B2506">
        <v>151333</v>
      </c>
    </row>
    <row r="2507" spans="1:2" x14ac:dyDescent="0.25">
      <c r="A2507" t="s">
        <v>5106</v>
      </c>
      <c r="B2507">
        <v>151360</v>
      </c>
    </row>
    <row r="2508" spans="1:2" x14ac:dyDescent="0.25">
      <c r="A2508" t="s">
        <v>5107</v>
      </c>
      <c r="B2508">
        <v>151111</v>
      </c>
    </row>
    <row r="2509" spans="1:2" x14ac:dyDescent="0.25">
      <c r="A2509" t="s">
        <v>5108</v>
      </c>
      <c r="B2509">
        <v>151342</v>
      </c>
    </row>
    <row r="2510" spans="1:2" x14ac:dyDescent="0.25">
      <c r="A2510" t="s">
        <v>5109</v>
      </c>
      <c r="B2510">
        <v>151379</v>
      </c>
    </row>
    <row r="2511" spans="1:2" x14ac:dyDescent="0.25">
      <c r="A2511" t="s">
        <v>5110</v>
      </c>
      <c r="B2511">
        <v>488420</v>
      </c>
    </row>
    <row r="2512" spans="1:2" x14ac:dyDescent="0.25">
      <c r="A2512" t="s">
        <v>5111</v>
      </c>
      <c r="B2512">
        <v>151801</v>
      </c>
    </row>
    <row r="2513" spans="1:2" x14ac:dyDescent="0.25">
      <c r="A2513" t="s">
        <v>5112</v>
      </c>
      <c r="B2513">
        <v>488679</v>
      </c>
    </row>
    <row r="2514" spans="1:2" x14ac:dyDescent="0.25">
      <c r="A2514" t="s">
        <v>5113</v>
      </c>
      <c r="B2514">
        <v>415057</v>
      </c>
    </row>
    <row r="2515" spans="1:2" x14ac:dyDescent="0.25">
      <c r="A2515" t="s">
        <v>5114</v>
      </c>
      <c r="B2515">
        <v>444671</v>
      </c>
    </row>
    <row r="2516" spans="1:2" x14ac:dyDescent="0.25">
      <c r="A2516" t="s">
        <v>5115</v>
      </c>
      <c r="B2516">
        <v>485564</v>
      </c>
    </row>
    <row r="2517" spans="1:2" x14ac:dyDescent="0.25">
      <c r="A2517" t="s">
        <v>5116</v>
      </c>
      <c r="B2517">
        <v>388663</v>
      </c>
    </row>
    <row r="2518" spans="1:2" x14ac:dyDescent="0.25">
      <c r="A2518" t="s">
        <v>5117</v>
      </c>
      <c r="B2518">
        <v>483106</v>
      </c>
    </row>
    <row r="2519" spans="1:2" x14ac:dyDescent="0.25">
      <c r="A2519" t="s">
        <v>5117</v>
      </c>
      <c r="B2519">
        <v>492731</v>
      </c>
    </row>
    <row r="2520" spans="1:2" x14ac:dyDescent="0.25">
      <c r="A2520" t="s">
        <v>5118</v>
      </c>
      <c r="B2520">
        <v>457554</v>
      </c>
    </row>
    <row r="2521" spans="1:2" x14ac:dyDescent="0.25">
      <c r="A2521" t="s">
        <v>5119</v>
      </c>
      <c r="B2521">
        <v>491932</v>
      </c>
    </row>
    <row r="2522" spans="1:2" x14ac:dyDescent="0.25">
      <c r="A2522" t="s">
        <v>5120</v>
      </c>
      <c r="B2522">
        <v>376288</v>
      </c>
    </row>
    <row r="2523" spans="1:2" x14ac:dyDescent="0.25">
      <c r="A2523" t="s">
        <v>5121</v>
      </c>
      <c r="B2523">
        <v>115931</v>
      </c>
    </row>
    <row r="2524" spans="1:2" x14ac:dyDescent="0.25">
      <c r="A2524" t="s">
        <v>5122</v>
      </c>
      <c r="B2524">
        <v>145886</v>
      </c>
    </row>
    <row r="2525" spans="1:2" x14ac:dyDescent="0.25">
      <c r="A2525" t="s">
        <v>5123</v>
      </c>
      <c r="B2525">
        <v>462044</v>
      </c>
    </row>
    <row r="2526" spans="1:2" x14ac:dyDescent="0.25">
      <c r="A2526" t="s">
        <v>5124</v>
      </c>
      <c r="B2526">
        <v>441548</v>
      </c>
    </row>
    <row r="2527" spans="1:2" x14ac:dyDescent="0.25">
      <c r="A2527" t="s">
        <v>5125</v>
      </c>
      <c r="B2527">
        <v>458122</v>
      </c>
    </row>
    <row r="2528" spans="1:2" x14ac:dyDescent="0.25">
      <c r="A2528" t="s">
        <v>5126</v>
      </c>
      <c r="B2528">
        <v>496751</v>
      </c>
    </row>
    <row r="2529" spans="1:2" x14ac:dyDescent="0.25">
      <c r="A2529" t="s">
        <v>5127</v>
      </c>
      <c r="B2529">
        <v>187745</v>
      </c>
    </row>
    <row r="2530" spans="1:2" x14ac:dyDescent="0.25">
      <c r="A2530" t="s">
        <v>5128</v>
      </c>
      <c r="B2530">
        <v>240879</v>
      </c>
    </row>
    <row r="2531" spans="1:2" x14ac:dyDescent="0.25">
      <c r="A2531" t="s">
        <v>5129</v>
      </c>
      <c r="B2531">
        <v>489335</v>
      </c>
    </row>
    <row r="2532" spans="1:2" x14ac:dyDescent="0.25">
      <c r="A2532" t="s">
        <v>5130</v>
      </c>
      <c r="B2532">
        <v>444699</v>
      </c>
    </row>
    <row r="2533" spans="1:2" x14ac:dyDescent="0.25">
      <c r="A2533" t="s">
        <v>5131</v>
      </c>
      <c r="B2533">
        <v>457819</v>
      </c>
    </row>
    <row r="2534" spans="1:2" x14ac:dyDescent="0.25">
      <c r="A2534" t="s">
        <v>5131</v>
      </c>
      <c r="B2534">
        <v>493080</v>
      </c>
    </row>
    <row r="2535" spans="1:2" x14ac:dyDescent="0.25">
      <c r="A2535" t="s">
        <v>5132</v>
      </c>
      <c r="B2535">
        <v>448017</v>
      </c>
    </row>
    <row r="2536" spans="1:2" x14ac:dyDescent="0.25">
      <c r="A2536" t="s">
        <v>5133</v>
      </c>
      <c r="B2536">
        <v>481207</v>
      </c>
    </row>
    <row r="2537" spans="1:2" x14ac:dyDescent="0.25">
      <c r="A2537" t="s">
        <v>5134</v>
      </c>
      <c r="B2537">
        <v>493363</v>
      </c>
    </row>
    <row r="2538" spans="1:2" x14ac:dyDescent="0.25">
      <c r="A2538" t="s">
        <v>5135</v>
      </c>
      <c r="B2538">
        <v>461218</v>
      </c>
    </row>
    <row r="2539" spans="1:2" x14ac:dyDescent="0.25">
      <c r="A2539" t="s">
        <v>5136</v>
      </c>
      <c r="B2539">
        <v>491570</v>
      </c>
    </row>
    <row r="2540" spans="1:2" x14ac:dyDescent="0.25">
      <c r="A2540" t="s">
        <v>5137</v>
      </c>
      <c r="B2540">
        <v>454616</v>
      </c>
    </row>
    <row r="2541" spans="1:2" x14ac:dyDescent="0.25">
      <c r="A2541" t="s">
        <v>5138</v>
      </c>
      <c r="B2541">
        <v>448044</v>
      </c>
    </row>
    <row r="2542" spans="1:2" x14ac:dyDescent="0.25">
      <c r="A2542" t="s">
        <v>5139</v>
      </c>
      <c r="B2542">
        <v>454838</v>
      </c>
    </row>
    <row r="2543" spans="1:2" x14ac:dyDescent="0.25">
      <c r="A2543" t="s">
        <v>5140</v>
      </c>
      <c r="B2543">
        <v>431141</v>
      </c>
    </row>
    <row r="2544" spans="1:2" x14ac:dyDescent="0.25">
      <c r="A2544" t="s">
        <v>5140</v>
      </c>
      <c r="B2544">
        <v>441663</v>
      </c>
    </row>
    <row r="2545" spans="1:2" x14ac:dyDescent="0.25">
      <c r="A2545" t="s">
        <v>5141</v>
      </c>
      <c r="B2545">
        <v>455804</v>
      </c>
    </row>
    <row r="2546" spans="1:2" x14ac:dyDescent="0.25">
      <c r="A2546" t="s">
        <v>5142</v>
      </c>
      <c r="B2546">
        <v>451501</v>
      </c>
    </row>
    <row r="2547" spans="1:2" x14ac:dyDescent="0.25">
      <c r="A2547" t="s">
        <v>5143</v>
      </c>
      <c r="B2547">
        <v>242556</v>
      </c>
    </row>
    <row r="2548" spans="1:2" x14ac:dyDescent="0.25">
      <c r="A2548" t="s">
        <v>5144</v>
      </c>
      <c r="B2548">
        <v>242042</v>
      </c>
    </row>
    <row r="2549" spans="1:2" x14ac:dyDescent="0.25">
      <c r="A2549" t="s">
        <v>5145</v>
      </c>
      <c r="B2549">
        <v>242565</v>
      </c>
    </row>
    <row r="2550" spans="1:2" x14ac:dyDescent="0.25">
      <c r="A2550" t="s">
        <v>5146</v>
      </c>
      <c r="B2550">
        <v>242583</v>
      </c>
    </row>
    <row r="2551" spans="1:2" x14ac:dyDescent="0.25">
      <c r="A2551" t="s">
        <v>5147</v>
      </c>
      <c r="B2551">
        <v>483373</v>
      </c>
    </row>
    <row r="2552" spans="1:2" x14ac:dyDescent="0.25">
      <c r="A2552" t="s">
        <v>5148</v>
      </c>
      <c r="B2552">
        <v>128179</v>
      </c>
    </row>
    <row r="2553" spans="1:2" x14ac:dyDescent="0.25">
      <c r="A2553" t="s">
        <v>5149</v>
      </c>
      <c r="B2553">
        <v>128188</v>
      </c>
    </row>
    <row r="2554" spans="1:2" x14ac:dyDescent="0.25">
      <c r="A2554" t="s">
        <v>5150</v>
      </c>
      <c r="B2554">
        <v>242626</v>
      </c>
    </row>
    <row r="2555" spans="1:2" x14ac:dyDescent="0.25">
      <c r="A2555" t="s">
        <v>5151</v>
      </c>
      <c r="B2555">
        <v>242635</v>
      </c>
    </row>
    <row r="2556" spans="1:2" x14ac:dyDescent="0.25">
      <c r="A2556" t="s">
        <v>5152</v>
      </c>
      <c r="B2556">
        <v>242644</v>
      </c>
    </row>
    <row r="2557" spans="1:2" x14ac:dyDescent="0.25">
      <c r="A2557" t="s">
        <v>5153</v>
      </c>
      <c r="B2557">
        <v>242705</v>
      </c>
    </row>
    <row r="2558" spans="1:2" x14ac:dyDescent="0.25">
      <c r="A2558" t="s">
        <v>5154</v>
      </c>
      <c r="B2558">
        <v>242671</v>
      </c>
    </row>
    <row r="2559" spans="1:2" x14ac:dyDescent="0.25">
      <c r="A2559" t="s">
        <v>5155</v>
      </c>
      <c r="B2559">
        <v>242680</v>
      </c>
    </row>
    <row r="2560" spans="1:2" x14ac:dyDescent="0.25">
      <c r="A2560" t="s">
        <v>5156</v>
      </c>
      <c r="B2560">
        <v>242699</v>
      </c>
    </row>
    <row r="2561" spans="1:2" x14ac:dyDescent="0.25">
      <c r="A2561" t="s">
        <v>5157</v>
      </c>
      <c r="B2561">
        <v>242653</v>
      </c>
    </row>
    <row r="2562" spans="1:2" x14ac:dyDescent="0.25">
      <c r="A2562" t="s">
        <v>5158</v>
      </c>
      <c r="B2562">
        <v>242662</v>
      </c>
    </row>
    <row r="2563" spans="1:2" x14ac:dyDescent="0.25">
      <c r="A2563" t="s">
        <v>5159</v>
      </c>
      <c r="B2563">
        <v>242617</v>
      </c>
    </row>
    <row r="2564" spans="1:2" x14ac:dyDescent="0.25">
      <c r="A2564" t="s">
        <v>5160</v>
      </c>
      <c r="B2564">
        <v>242723</v>
      </c>
    </row>
    <row r="2565" spans="1:2" x14ac:dyDescent="0.25">
      <c r="A2565" t="s">
        <v>5161</v>
      </c>
      <c r="B2565">
        <v>404222</v>
      </c>
    </row>
    <row r="2566" spans="1:2" x14ac:dyDescent="0.25">
      <c r="A2566" t="s">
        <v>5162</v>
      </c>
      <c r="B2566">
        <v>367361</v>
      </c>
    </row>
    <row r="2567" spans="1:2" x14ac:dyDescent="0.25">
      <c r="A2567" t="s">
        <v>5162</v>
      </c>
      <c r="B2567">
        <v>440776</v>
      </c>
    </row>
    <row r="2568" spans="1:2" x14ac:dyDescent="0.25">
      <c r="A2568" t="s">
        <v>5162</v>
      </c>
      <c r="B2568">
        <v>443696</v>
      </c>
    </row>
    <row r="2569" spans="1:2" x14ac:dyDescent="0.25">
      <c r="A2569" t="s">
        <v>5163</v>
      </c>
      <c r="B2569">
        <v>138655</v>
      </c>
    </row>
    <row r="2570" spans="1:2" x14ac:dyDescent="0.25">
      <c r="A2570" t="s">
        <v>5164</v>
      </c>
      <c r="B2570">
        <v>442435</v>
      </c>
    </row>
    <row r="2571" spans="1:2" x14ac:dyDescent="0.25">
      <c r="A2571" t="s">
        <v>5165</v>
      </c>
      <c r="B2571">
        <v>138664</v>
      </c>
    </row>
    <row r="2572" spans="1:2" x14ac:dyDescent="0.25">
      <c r="A2572" t="s">
        <v>5166</v>
      </c>
      <c r="B2572">
        <v>367103</v>
      </c>
    </row>
    <row r="2573" spans="1:2" x14ac:dyDescent="0.25">
      <c r="A2573" t="s">
        <v>5167</v>
      </c>
      <c r="B2573">
        <v>483869</v>
      </c>
    </row>
    <row r="2574" spans="1:2" x14ac:dyDescent="0.25">
      <c r="A2574" t="s">
        <v>5168</v>
      </c>
      <c r="B2574">
        <v>481960</v>
      </c>
    </row>
    <row r="2575" spans="1:2" x14ac:dyDescent="0.25">
      <c r="A2575" t="s">
        <v>5169</v>
      </c>
      <c r="B2575">
        <v>457208</v>
      </c>
    </row>
    <row r="2576" spans="1:2" x14ac:dyDescent="0.25">
      <c r="A2576" t="s">
        <v>5170</v>
      </c>
      <c r="B2576">
        <v>442888</v>
      </c>
    </row>
    <row r="2577" spans="1:2" x14ac:dyDescent="0.25">
      <c r="A2577" t="s">
        <v>5171</v>
      </c>
      <c r="B2577">
        <v>366289</v>
      </c>
    </row>
    <row r="2578" spans="1:2" x14ac:dyDescent="0.25">
      <c r="A2578" t="s">
        <v>5172</v>
      </c>
      <c r="B2578">
        <v>443571</v>
      </c>
    </row>
    <row r="2579" spans="1:2" x14ac:dyDescent="0.25">
      <c r="A2579" t="s">
        <v>5173</v>
      </c>
      <c r="B2579">
        <v>140146</v>
      </c>
    </row>
    <row r="2580" spans="1:2" x14ac:dyDescent="0.25">
      <c r="A2580" t="s">
        <v>5174</v>
      </c>
      <c r="B2580">
        <v>116226</v>
      </c>
    </row>
    <row r="2581" spans="1:2" x14ac:dyDescent="0.25">
      <c r="A2581" t="s">
        <v>5175</v>
      </c>
      <c r="B2581">
        <v>134714</v>
      </c>
    </row>
    <row r="2582" spans="1:2" x14ac:dyDescent="0.25">
      <c r="A2582" t="s">
        <v>5176</v>
      </c>
      <c r="B2582">
        <v>457785</v>
      </c>
    </row>
    <row r="2583" spans="1:2" x14ac:dyDescent="0.25">
      <c r="A2583" t="s">
        <v>5177</v>
      </c>
      <c r="B2583">
        <v>235501</v>
      </c>
    </row>
    <row r="2584" spans="1:2" x14ac:dyDescent="0.25">
      <c r="A2584" t="s">
        <v>5178</v>
      </c>
      <c r="B2584">
        <v>436614</v>
      </c>
    </row>
    <row r="2585" spans="1:2" x14ac:dyDescent="0.25">
      <c r="A2585" t="s">
        <v>5179</v>
      </c>
      <c r="B2585">
        <v>491686</v>
      </c>
    </row>
    <row r="2586" spans="1:2" x14ac:dyDescent="0.25">
      <c r="A2586" t="s">
        <v>5180</v>
      </c>
      <c r="B2586">
        <v>431284</v>
      </c>
    </row>
    <row r="2587" spans="1:2" x14ac:dyDescent="0.25">
      <c r="A2587" t="s">
        <v>5181</v>
      </c>
      <c r="B2587">
        <v>488378</v>
      </c>
    </row>
    <row r="2588" spans="1:2" x14ac:dyDescent="0.25">
      <c r="A2588" t="s">
        <v>5182</v>
      </c>
      <c r="B2588">
        <v>238005</v>
      </c>
    </row>
    <row r="2589" spans="1:2" x14ac:dyDescent="0.25">
      <c r="A2589" t="s">
        <v>5183</v>
      </c>
      <c r="B2589">
        <v>151467</v>
      </c>
    </row>
    <row r="2590" spans="1:2" x14ac:dyDescent="0.25">
      <c r="A2590" t="s">
        <v>5184</v>
      </c>
      <c r="B2590">
        <v>462336</v>
      </c>
    </row>
    <row r="2591" spans="1:2" x14ac:dyDescent="0.25">
      <c r="A2591" t="s">
        <v>5185</v>
      </c>
      <c r="B2591">
        <v>203289</v>
      </c>
    </row>
    <row r="2592" spans="1:2" x14ac:dyDescent="0.25">
      <c r="A2592" t="s">
        <v>5186</v>
      </c>
      <c r="B2592">
        <v>461175</v>
      </c>
    </row>
    <row r="2593" spans="1:2" x14ac:dyDescent="0.25">
      <c r="A2593" t="s">
        <v>5187</v>
      </c>
      <c r="B2593">
        <v>453297</v>
      </c>
    </row>
    <row r="2594" spans="1:2" x14ac:dyDescent="0.25">
      <c r="A2594" t="s">
        <v>5188</v>
      </c>
      <c r="B2594">
        <v>488925</v>
      </c>
    </row>
    <row r="2595" spans="1:2" x14ac:dyDescent="0.25">
      <c r="A2595" t="s">
        <v>5189</v>
      </c>
      <c r="B2595">
        <v>448691</v>
      </c>
    </row>
    <row r="2596" spans="1:2" x14ac:dyDescent="0.25">
      <c r="A2596" t="s">
        <v>5190</v>
      </c>
      <c r="B2596">
        <v>457341</v>
      </c>
    </row>
    <row r="2597" spans="1:2" x14ac:dyDescent="0.25">
      <c r="A2597" t="s">
        <v>5191</v>
      </c>
      <c r="B2597">
        <v>127316</v>
      </c>
    </row>
    <row r="2598" spans="1:2" x14ac:dyDescent="0.25">
      <c r="A2598" t="s">
        <v>5192</v>
      </c>
      <c r="B2598">
        <v>113449</v>
      </c>
    </row>
    <row r="2599" spans="1:2" x14ac:dyDescent="0.25">
      <c r="A2599" t="s">
        <v>5193</v>
      </c>
      <c r="B2599">
        <v>116350</v>
      </c>
    </row>
    <row r="2600" spans="1:2" x14ac:dyDescent="0.25">
      <c r="A2600" t="s">
        <v>5193</v>
      </c>
      <c r="B2600">
        <v>480347</v>
      </c>
    </row>
    <row r="2601" spans="1:2" x14ac:dyDescent="0.25">
      <c r="A2601" t="s">
        <v>5194</v>
      </c>
      <c r="B2601">
        <v>365091</v>
      </c>
    </row>
    <row r="2602" spans="1:2" x14ac:dyDescent="0.25">
      <c r="A2602" t="s">
        <v>5195</v>
      </c>
      <c r="B2602">
        <v>242750</v>
      </c>
    </row>
    <row r="2603" spans="1:2" x14ac:dyDescent="0.25">
      <c r="A2603" t="s">
        <v>5196</v>
      </c>
      <c r="B2603">
        <v>443128</v>
      </c>
    </row>
    <row r="2604" spans="1:2" x14ac:dyDescent="0.25">
      <c r="A2604" t="s">
        <v>5197</v>
      </c>
      <c r="B2604">
        <v>439686</v>
      </c>
    </row>
    <row r="2605" spans="1:2" x14ac:dyDescent="0.25">
      <c r="A2605" t="s">
        <v>5198</v>
      </c>
      <c r="B2605">
        <v>173799</v>
      </c>
    </row>
    <row r="2606" spans="1:2" x14ac:dyDescent="0.25">
      <c r="A2606" t="s">
        <v>5199</v>
      </c>
      <c r="B2606">
        <v>191931</v>
      </c>
    </row>
    <row r="2607" spans="1:2" x14ac:dyDescent="0.25">
      <c r="A2607" t="s">
        <v>5200</v>
      </c>
      <c r="B2607">
        <v>153524</v>
      </c>
    </row>
    <row r="2608" spans="1:2" x14ac:dyDescent="0.25">
      <c r="A2608" t="s">
        <v>5201</v>
      </c>
      <c r="B2608">
        <v>153533</v>
      </c>
    </row>
    <row r="2609" spans="1:2" x14ac:dyDescent="0.25">
      <c r="A2609" t="s">
        <v>5202</v>
      </c>
      <c r="B2609">
        <v>153597</v>
      </c>
    </row>
    <row r="2610" spans="1:2" x14ac:dyDescent="0.25">
      <c r="A2610" t="s">
        <v>5203</v>
      </c>
      <c r="B2610">
        <v>154165</v>
      </c>
    </row>
    <row r="2611" spans="1:2" x14ac:dyDescent="0.25">
      <c r="A2611" t="s">
        <v>5204</v>
      </c>
      <c r="B2611">
        <v>154457</v>
      </c>
    </row>
    <row r="2612" spans="1:2" x14ac:dyDescent="0.25">
      <c r="A2612" t="s">
        <v>5205</v>
      </c>
      <c r="B2612">
        <v>153603</v>
      </c>
    </row>
    <row r="2613" spans="1:2" x14ac:dyDescent="0.25">
      <c r="A2613" t="s">
        <v>5206</v>
      </c>
      <c r="B2613">
        <v>153621</v>
      </c>
    </row>
    <row r="2614" spans="1:2" x14ac:dyDescent="0.25">
      <c r="A2614" t="s">
        <v>5207</v>
      </c>
      <c r="B2614">
        <v>153630</v>
      </c>
    </row>
    <row r="2615" spans="1:2" x14ac:dyDescent="0.25">
      <c r="A2615" t="s">
        <v>5208</v>
      </c>
      <c r="B2615">
        <v>441238</v>
      </c>
    </row>
    <row r="2616" spans="1:2" x14ac:dyDescent="0.25">
      <c r="A2616" t="s">
        <v>5209</v>
      </c>
      <c r="B2616">
        <v>443137</v>
      </c>
    </row>
    <row r="2617" spans="1:2" x14ac:dyDescent="0.25">
      <c r="A2617" t="s">
        <v>5210</v>
      </c>
      <c r="B2617">
        <v>116439</v>
      </c>
    </row>
    <row r="2618" spans="1:2" x14ac:dyDescent="0.25">
      <c r="A2618" t="s">
        <v>5211</v>
      </c>
      <c r="B2618">
        <v>191940</v>
      </c>
    </row>
    <row r="2619" spans="1:2" x14ac:dyDescent="0.25">
      <c r="A2619" t="s">
        <v>5212</v>
      </c>
      <c r="B2619">
        <v>191959</v>
      </c>
    </row>
    <row r="2620" spans="1:2" x14ac:dyDescent="0.25">
      <c r="A2620" t="s">
        <v>5213</v>
      </c>
      <c r="B2620">
        <v>198710</v>
      </c>
    </row>
    <row r="2621" spans="1:2" x14ac:dyDescent="0.25">
      <c r="A2621" t="s">
        <v>5214</v>
      </c>
      <c r="B2621">
        <v>173805</v>
      </c>
    </row>
    <row r="2622" spans="1:2" x14ac:dyDescent="0.25">
      <c r="A2622" t="s">
        <v>5215</v>
      </c>
      <c r="B2622">
        <v>175829</v>
      </c>
    </row>
    <row r="2623" spans="1:2" x14ac:dyDescent="0.25">
      <c r="A2623" t="s">
        <v>5216</v>
      </c>
      <c r="B2623">
        <v>191968</v>
      </c>
    </row>
    <row r="2624" spans="1:2" x14ac:dyDescent="0.25">
      <c r="A2624" t="s">
        <v>5217</v>
      </c>
      <c r="B2624">
        <v>159197</v>
      </c>
    </row>
    <row r="2625" spans="1:2" x14ac:dyDescent="0.25">
      <c r="A2625" t="s">
        <v>5218</v>
      </c>
      <c r="B2625">
        <v>438984</v>
      </c>
    </row>
    <row r="2626" spans="1:2" x14ac:dyDescent="0.25">
      <c r="A2626" t="s">
        <v>5219</v>
      </c>
      <c r="B2626">
        <v>150987</v>
      </c>
    </row>
    <row r="2627" spans="1:2" x14ac:dyDescent="0.25">
      <c r="A2627" t="s">
        <v>5220</v>
      </c>
      <c r="B2627">
        <v>437237</v>
      </c>
    </row>
    <row r="2628" spans="1:2" x14ac:dyDescent="0.25">
      <c r="A2628" t="s">
        <v>5221</v>
      </c>
      <c r="B2628">
        <v>481474</v>
      </c>
    </row>
    <row r="2629" spans="1:2" x14ac:dyDescent="0.25">
      <c r="A2629" t="s">
        <v>5222</v>
      </c>
      <c r="B2629">
        <v>101471</v>
      </c>
    </row>
    <row r="2630" spans="1:2" x14ac:dyDescent="0.25">
      <c r="A2630" t="s">
        <v>5223</v>
      </c>
      <c r="B2630">
        <v>150765</v>
      </c>
    </row>
    <row r="2631" spans="1:2" x14ac:dyDescent="0.25">
      <c r="A2631" t="s">
        <v>5224</v>
      </c>
      <c r="B2631">
        <v>232414</v>
      </c>
    </row>
    <row r="2632" spans="1:2" x14ac:dyDescent="0.25">
      <c r="A2632" t="s">
        <v>5225</v>
      </c>
      <c r="B2632">
        <v>101462</v>
      </c>
    </row>
    <row r="2633" spans="1:2" x14ac:dyDescent="0.25">
      <c r="A2633" t="s">
        <v>5226</v>
      </c>
      <c r="B2633">
        <v>170444</v>
      </c>
    </row>
    <row r="2634" spans="1:2" x14ac:dyDescent="0.25">
      <c r="A2634" t="s">
        <v>5227</v>
      </c>
      <c r="B2634">
        <v>220400</v>
      </c>
    </row>
    <row r="2635" spans="1:2" x14ac:dyDescent="0.25">
      <c r="A2635" t="s">
        <v>5228</v>
      </c>
      <c r="B2635">
        <v>175856</v>
      </c>
    </row>
    <row r="2636" spans="1:2" x14ac:dyDescent="0.25">
      <c r="A2636" t="s">
        <v>5229</v>
      </c>
      <c r="B2636">
        <v>225876</v>
      </c>
    </row>
    <row r="2637" spans="1:2" x14ac:dyDescent="0.25">
      <c r="A2637" t="s">
        <v>5230</v>
      </c>
      <c r="B2637">
        <v>101480</v>
      </c>
    </row>
    <row r="2638" spans="1:2" x14ac:dyDescent="0.25">
      <c r="A2638" t="s">
        <v>5231</v>
      </c>
      <c r="B2638">
        <v>134945</v>
      </c>
    </row>
    <row r="2639" spans="1:2" x14ac:dyDescent="0.25">
      <c r="A2639" t="s">
        <v>5232</v>
      </c>
      <c r="B2639">
        <v>203678</v>
      </c>
    </row>
    <row r="2640" spans="1:2" x14ac:dyDescent="0.25">
      <c r="A2640" t="s">
        <v>5233</v>
      </c>
      <c r="B2640">
        <v>232423</v>
      </c>
    </row>
    <row r="2641" spans="1:2" x14ac:dyDescent="0.25">
      <c r="A2641" t="s">
        <v>5234</v>
      </c>
      <c r="B2641">
        <v>237473</v>
      </c>
    </row>
    <row r="2642" spans="1:2" x14ac:dyDescent="0.25">
      <c r="A2642" t="s">
        <v>5235</v>
      </c>
      <c r="B2642">
        <v>198729</v>
      </c>
    </row>
    <row r="2643" spans="1:2" x14ac:dyDescent="0.25">
      <c r="A2643" t="s">
        <v>5236</v>
      </c>
      <c r="B2643">
        <v>192004</v>
      </c>
    </row>
    <row r="2644" spans="1:2" x14ac:dyDescent="0.25">
      <c r="A2644" t="s">
        <v>5237</v>
      </c>
      <c r="B2644">
        <v>191986</v>
      </c>
    </row>
    <row r="2645" spans="1:2" x14ac:dyDescent="0.25">
      <c r="A2645" t="s">
        <v>5238</v>
      </c>
      <c r="B2645">
        <v>225885</v>
      </c>
    </row>
    <row r="2646" spans="1:2" x14ac:dyDescent="0.25">
      <c r="A2646" t="s">
        <v>5239</v>
      </c>
      <c r="B2646">
        <v>443146</v>
      </c>
    </row>
    <row r="2647" spans="1:2" x14ac:dyDescent="0.25">
      <c r="A2647" t="s">
        <v>5240</v>
      </c>
      <c r="B2647">
        <v>483276</v>
      </c>
    </row>
    <row r="2648" spans="1:2" x14ac:dyDescent="0.25">
      <c r="A2648" t="s">
        <v>5241</v>
      </c>
      <c r="B2648">
        <v>414540</v>
      </c>
    </row>
    <row r="2649" spans="1:2" x14ac:dyDescent="0.25">
      <c r="A2649" t="s">
        <v>5242</v>
      </c>
      <c r="B2649">
        <v>177676</v>
      </c>
    </row>
    <row r="2650" spans="1:2" x14ac:dyDescent="0.25">
      <c r="A2650" t="s">
        <v>5243</v>
      </c>
      <c r="B2650">
        <v>156921</v>
      </c>
    </row>
    <row r="2651" spans="1:2" x14ac:dyDescent="0.25">
      <c r="A2651" t="s">
        <v>5244</v>
      </c>
      <c r="B2651">
        <v>192022</v>
      </c>
    </row>
    <row r="2652" spans="1:2" x14ac:dyDescent="0.25">
      <c r="A2652" t="s">
        <v>5245</v>
      </c>
      <c r="B2652">
        <v>418445</v>
      </c>
    </row>
    <row r="2653" spans="1:2" x14ac:dyDescent="0.25">
      <c r="A2653" t="s">
        <v>5246</v>
      </c>
      <c r="B2653">
        <v>417886</v>
      </c>
    </row>
    <row r="2654" spans="1:2" x14ac:dyDescent="0.25">
      <c r="A2654" t="s">
        <v>5247</v>
      </c>
      <c r="B2654">
        <v>107123</v>
      </c>
    </row>
    <row r="2655" spans="1:2" x14ac:dyDescent="0.25">
      <c r="A2655" t="s">
        <v>5248</v>
      </c>
      <c r="B2655">
        <v>101505</v>
      </c>
    </row>
    <row r="2656" spans="1:2" x14ac:dyDescent="0.25">
      <c r="A2656" t="s">
        <v>5249</v>
      </c>
      <c r="B2656">
        <v>207704</v>
      </c>
    </row>
    <row r="2657" spans="1:2" x14ac:dyDescent="0.25">
      <c r="A2657" t="s">
        <v>5250</v>
      </c>
      <c r="B2657">
        <v>451918</v>
      </c>
    </row>
    <row r="2658" spans="1:2" x14ac:dyDescent="0.25">
      <c r="A2658" t="s">
        <v>5251</v>
      </c>
      <c r="B2658">
        <v>455196</v>
      </c>
    </row>
    <row r="2659" spans="1:2" x14ac:dyDescent="0.25">
      <c r="A2659" t="s">
        <v>8828</v>
      </c>
      <c r="B2659">
        <v>497170</v>
      </c>
    </row>
    <row r="2660" spans="1:2" x14ac:dyDescent="0.25">
      <c r="A2660" t="s">
        <v>8829</v>
      </c>
      <c r="B2660">
        <v>496821</v>
      </c>
    </row>
    <row r="2661" spans="1:2" x14ac:dyDescent="0.25">
      <c r="A2661" t="s">
        <v>5252</v>
      </c>
      <c r="B2661">
        <v>192040</v>
      </c>
    </row>
    <row r="2662" spans="1:2" x14ac:dyDescent="0.25">
      <c r="A2662" t="s">
        <v>5253</v>
      </c>
      <c r="B2662">
        <v>185679</v>
      </c>
    </row>
    <row r="2663" spans="1:2" x14ac:dyDescent="0.25">
      <c r="A2663" t="s">
        <v>5254</v>
      </c>
      <c r="B2663">
        <v>419341</v>
      </c>
    </row>
    <row r="2664" spans="1:2" x14ac:dyDescent="0.25">
      <c r="A2664" t="s">
        <v>5255</v>
      </c>
      <c r="B2664">
        <v>185174</v>
      </c>
    </row>
    <row r="2665" spans="1:2" x14ac:dyDescent="0.25">
      <c r="A2665" t="s">
        <v>5256</v>
      </c>
      <c r="B2665">
        <v>188696</v>
      </c>
    </row>
    <row r="2666" spans="1:2" x14ac:dyDescent="0.25">
      <c r="A2666" t="s">
        <v>5257</v>
      </c>
      <c r="B2666">
        <v>220464</v>
      </c>
    </row>
    <row r="2667" spans="1:2" x14ac:dyDescent="0.25">
      <c r="A2667" t="s">
        <v>5258</v>
      </c>
      <c r="B2667">
        <v>146205</v>
      </c>
    </row>
    <row r="2668" spans="1:2" x14ac:dyDescent="0.25">
      <c r="A2668" t="s">
        <v>5259</v>
      </c>
      <c r="B2668">
        <v>401764</v>
      </c>
    </row>
    <row r="2669" spans="1:2" x14ac:dyDescent="0.25">
      <c r="A2669" t="s">
        <v>5260</v>
      </c>
      <c r="B2669">
        <v>107141</v>
      </c>
    </row>
    <row r="2670" spans="1:2" x14ac:dyDescent="0.25">
      <c r="A2670" t="s">
        <v>5261</v>
      </c>
      <c r="B2670">
        <v>101514</v>
      </c>
    </row>
    <row r="2671" spans="1:2" x14ac:dyDescent="0.25">
      <c r="A2671" t="s">
        <v>5262</v>
      </c>
      <c r="B2671">
        <v>203368</v>
      </c>
    </row>
    <row r="2672" spans="1:2" x14ac:dyDescent="0.25">
      <c r="A2672" t="s">
        <v>5263</v>
      </c>
      <c r="B2672">
        <v>446349</v>
      </c>
    </row>
    <row r="2673" spans="1:2" x14ac:dyDescent="0.25">
      <c r="A2673" t="s">
        <v>5264</v>
      </c>
      <c r="B2673">
        <v>159328</v>
      </c>
    </row>
    <row r="2674" spans="1:2" x14ac:dyDescent="0.25">
      <c r="A2674" t="s">
        <v>5265</v>
      </c>
      <c r="B2674">
        <v>455239</v>
      </c>
    </row>
    <row r="2675" spans="1:2" x14ac:dyDescent="0.25">
      <c r="A2675" t="s">
        <v>5266</v>
      </c>
      <c r="B2675">
        <v>488776</v>
      </c>
    </row>
    <row r="2676" spans="1:2" x14ac:dyDescent="0.25">
      <c r="A2676" t="s">
        <v>5267</v>
      </c>
      <c r="B2676">
        <v>462354</v>
      </c>
    </row>
    <row r="2677" spans="1:2" x14ac:dyDescent="0.25">
      <c r="A2677" t="s">
        <v>5268</v>
      </c>
      <c r="B2677">
        <v>428125</v>
      </c>
    </row>
    <row r="2678" spans="1:2" x14ac:dyDescent="0.25">
      <c r="A2678" t="s">
        <v>5269</v>
      </c>
      <c r="B2678">
        <v>146278</v>
      </c>
    </row>
    <row r="2679" spans="1:2" x14ac:dyDescent="0.25">
      <c r="A2679" t="s">
        <v>5270</v>
      </c>
      <c r="B2679">
        <v>491242</v>
      </c>
    </row>
    <row r="2680" spans="1:2" x14ac:dyDescent="0.25">
      <c r="A2680" t="s">
        <v>5271</v>
      </c>
      <c r="B2680">
        <v>162928</v>
      </c>
    </row>
    <row r="2681" spans="1:2" x14ac:dyDescent="0.25">
      <c r="A2681" t="s">
        <v>5272</v>
      </c>
      <c r="B2681">
        <v>445708</v>
      </c>
    </row>
    <row r="2682" spans="1:2" x14ac:dyDescent="0.25">
      <c r="A2682" t="s">
        <v>5273</v>
      </c>
      <c r="B2682">
        <v>439288</v>
      </c>
    </row>
    <row r="2683" spans="1:2" x14ac:dyDescent="0.25">
      <c r="A2683" t="s">
        <v>5274</v>
      </c>
      <c r="B2683">
        <v>414823</v>
      </c>
    </row>
    <row r="2684" spans="1:2" x14ac:dyDescent="0.25">
      <c r="A2684" t="s">
        <v>5275</v>
      </c>
      <c r="B2684">
        <v>460349</v>
      </c>
    </row>
    <row r="2685" spans="1:2" x14ac:dyDescent="0.25">
      <c r="A2685" t="s">
        <v>5276</v>
      </c>
      <c r="B2685">
        <v>217235</v>
      </c>
    </row>
    <row r="2686" spans="1:2" x14ac:dyDescent="0.25">
      <c r="A2686" t="s">
        <v>5277</v>
      </c>
      <c r="B2686">
        <v>198756</v>
      </c>
    </row>
    <row r="2687" spans="1:2" x14ac:dyDescent="0.25">
      <c r="A2687" t="s">
        <v>5278</v>
      </c>
      <c r="B2687">
        <v>213233</v>
      </c>
    </row>
    <row r="2688" spans="1:2" x14ac:dyDescent="0.25">
      <c r="A2688" t="s">
        <v>5279</v>
      </c>
      <c r="B2688">
        <v>155210</v>
      </c>
    </row>
    <row r="2689" spans="1:2" x14ac:dyDescent="0.25">
      <c r="A2689" t="s">
        <v>5280</v>
      </c>
      <c r="B2689">
        <v>220473</v>
      </c>
    </row>
    <row r="2690" spans="1:2" x14ac:dyDescent="0.25">
      <c r="A2690" t="s">
        <v>5281</v>
      </c>
      <c r="B2690">
        <v>132879</v>
      </c>
    </row>
    <row r="2691" spans="1:2" x14ac:dyDescent="0.25">
      <c r="A2691" t="s">
        <v>5282</v>
      </c>
      <c r="B2691">
        <v>198774</v>
      </c>
    </row>
    <row r="2692" spans="1:2" x14ac:dyDescent="0.25">
      <c r="A2692" t="s">
        <v>5283</v>
      </c>
      <c r="B2692">
        <v>496742</v>
      </c>
    </row>
    <row r="2693" spans="1:2" x14ac:dyDescent="0.25">
      <c r="A2693" t="s">
        <v>5284</v>
      </c>
      <c r="B2693">
        <v>210474</v>
      </c>
    </row>
    <row r="2694" spans="1:2" x14ac:dyDescent="0.25">
      <c r="A2694" t="s">
        <v>5285</v>
      </c>
      <c r="B2694">
        <v>431099</v>
      </c>
    </row>
    <row r="2695" spans="1:2" x14ac:dyDescent="0.25">
      <c r="A2695" t="s">
        <v>5286</v>
      </c>
      <c r="B2695">
        <v>478661</v>
      </c>
    </row>
    <row r="2696" spans="1:2" x14ac:dyDescent="0.25">
      <c r="A2696" t="s">
        <v>5287</v>
      </c>
      <c r="B2696">
        <v>213215</v>
      </c>
    </row>
    <row r="2697" spans="1:2" x14ac:dyDescent="0.25">
      <c r="A2697" t="s">
        <v>5288</v>
      </c>
      <c r="B2697">
        <v>486734</v>
      </c>
    </row>
    <row r="2698" spans="1:2" x14ac:dyDescent="0.25">
      <c r="A2698" t="s">
        <v>5289</v>
      </c>
      <c r="B2698">
        <v>484321</v>
      </c>
    </row>
    <row r="2699" spans="1:2" x14ac:dyDescent="0.25">
      <c r="A2699" t="s">
        <v>5290</v>
      </c>
      <c r="B2699">
        <v>146296</v>
      </c>
    </row>
    <row r="2700" spans="1:2" x14ac:dyDescent="0.25">
      <c r="A2700" t="s">
        <v>5291</v>
      </c>
      <c r="B2700">
        <v>175883</v>
      </c>
    </row>
    <row r="2701" spans="1:2" x14ac:dyDescent="0.25">
      <c r="A2701" t="s">
        <v>5292</v>
      </c>
      <c r="B2701">
        <v>487311</v>
      </c>
    </row>
    <row r="2702" spans="1:2" x14ac:dyDescent="0.25">
      <c r="A2702" t="s">
        <v>5293</v>
      </c>
      <c r="B2702">
        <v>461281</v>
      </c>
    </row>
    <row r="2703" spans="1:2" x14ac:dyDescent="0.25">
      <c r="A2703" t="s">
        <v>5294</v>
      </c>
      <c r="B2703">
        <v>456551</v>
      </c>
    </row>
    <row r="2704" spans="1:2" x14ac:dyDescent="0.25">
      <c r="A2704" t="s">
        <v>5295</v>
      </c>
      <c r="B2704">
        <v>200110</v>
      </c>
    </row>
    <row r="2705" spans="1:2" x14ac:dyDescent="0.25">
      <c r="A2705" t="s">
        <v>5296</v>
      </c>
      <c r="B2705">
        <v>215479</v>
      </c>
    </row>
    <row r="2706" spans="1:2" x14ac:dyDescent="0.25">
      <c r="A2706" t="s">
        <v>5297</v>
      </c>
      <c r="B2706">
        <v>181190</v>
      </c>
    </row>
    <row r="2707" spans="1:2" x14ac:dyDescent="0.25">
      <c r="A2707" t="s">
        <v>5298</v>
      </c>
      <c r="B2707">
        <v>490416</v>
      </c>
    </row>
    <row r="2708" spans="1:2" x14ac:dyDescent="0.25">
      <c r="A2708" t="s">
        <v>5299</v>
      </c>
      <c r="B2708">
        <v>101541</v>
      </c>
    </row>
    <row r="2709" spans="1:2" x14ac:dyDescent="0.25">
      <c r="A2709" t="s">
        <v>5300</v>
      </c>
      <c r="B2709">
        <v>146339</v>
      </c>
    </row>
    <row r="2710" spans="1:2" x14ac:dyDescent="0.25">
      <c r="A2710" t="s">
        <v>5301</v>
      </c>
      <c r="B2710">
        <v>461139</v>
      </c>
    </row>
    <row r="2711" spans="1:2" x14ac:dyDescent="0.25">
      <c r="A2711" t="s">
        <v>5302</v>
      </c>
      <c r="B2711">
        <v>213251</v>
      </c>
    </row>
    <row r="2712" spans="1:2" x14ac:dyDescent="0.25">
      <c r="A2712" t="s">
        <v>5303</v>
      </c>
      <c r="B2712">
        <v>484057</v>
      </c>
    </row>
    <row r="2713" spans="1:2" x14ac:dyDescent="0.25">
      <c r="A2713" t="s">
        <v>5304</v>
      </c>
      <c r="B2713">
        <v>485810</v>
      </c>
    </row>
    <row r="2714" spans="1:2" x14ac:dyDescent="0.25">
      <c r="A2714" t="s">
        <v>5305</v>
      </c>
      <c r="B2714">
        <v>481313</v>
      </c>
    </row>
    <row r="2715" spans="1:2" x14ac:dyDescent="0.25">
      <c r="A2715" t="s">
        <v>5306</v>
      </c>
      <c r="B2715">
        <v>170532</v>
      </c>
    </row>
    <row r="2716" spans="1:2" x14ac:dyDescent="0.25">
      <c r="A2716" t="s">
        <v>5307</v>
      </c>
      <c r="B2716">
        <v>170541</v>
      </c>
    </row>
    <row r="2717" spans="1:2" x14ac:dyDescent="0.25">
      <c r="A2717" t="s">
        <v>5308</v>
      </c>
      <c r="B2717">
        <v>146348</v>
      </c>
    </row>
    <row r="2718" spans="1:2" x14ac:dyDescent="0.25">
      <c r="A2718" t="s">
        <v>5309</v>
      </c>
      <c r="B2718">
        <v>155308</v>
      </c>
    </row>
    <row r="2719" spans="1:2" x14ac:dyDescent="0.25">
      <c r="A2719" t="s">
        <v>5310</v>
      </c>
      <c r="B2719">
        <v>177746</v>
      </c>
    </row>
    <row r="2720" spans="1:2" x14ac:dyDescent="0.25">
      <c r="A2720" t="s">
        <v>5311</v>
      </c>
      <c r="B2720">
        <v>155292</v>
      </c>
    </row>
    <row r="2721" spans="1:2" x14ac:dyDescent="0.25">
      <c r="A2721" t="s">
        <v>5312</v>
      </c>
      <c r="B2721">
        <v>179812</v>
      </c>
    </row>
    <row r="2722" spans="1:2" x14ac:dyDescent="0.25">
      <c r="A2722" t="s">
        <v>5312</v>
      </c>
      <c r="B2722">
        <v>490601</v>
      </c>
    </row>
    <row r="2723" spans="1:2" x14ac:dyDescent="0.25">
      <c r="A2723" t="s">
        <v>5313</v>
      </c>
      <c r="B2723">
        <v>155399</v>
      </c>
    </row>
    <row r="2724" spans="1:2" x14ac:dyDescent="0.25">
      <c r="A2724" t="s">
        <v>5314</v>
      </c>
      <c r="B2724">
        <v>155414</v>
      </c>
    </row>
    <row r="2725" spans="1:2" x14ac:dyDescent="0.25">
      <c r="A2725" t="s">
        <v>5315</v>
      </c>
      <c r="B2725">
        <v>141796</v>
      </c>
    </row>
    <row r="2726" spans="1:2" x14ac:dyDescent="0.25">
      <c r="A2726" t="s">
        <v>5316</v>
      </c>
      <c r="B2726">
        <v>146366</v>
      </c>
    </row>
    <row r="2727" spans="1:2" x14ac:dyDescent="0.25">
      <c r="A2727" t="s">
        <v>5317</v>
      </c>
      <c r="B2727">
        <v>141802</v>
      </c>
    </row>
    <row r="2728" spans="1:2" x14ac:dyDescent="0.25">
      <c r="A2728" t="s">
        <v>5318</v>
      </c>
      <c r="B2728">
        <v>494658</v>
      </c>
    </row>
    <row r="2729" spans="1:2" x14ac:dyDescent="0.25">
      <c r="A2729" t="s">
        <v>5319</v>
      </c>
      <c r="B2729">
        <v>492652</v>
      </c>
    </row>
    <row r="2730" spans="1:2" x14ac:dyDescent="0.25">
      <c r="A2730" t="s">
        <v>5320</v>
      </c>
      <c r="B2730">
        <v>374343</v>
      </c>
    </row>
    <row r="2731" spans="1:2" x14ac:dyDescent="0.25">
      <c r="A2731" t="s">
        <v>5321</v>
      </c>
      <c r="B2731">
        <v>225991</v>
      </c>
    </row>
    <row r="2732" spans="1:2" x14ac:dyDescent="0.25">
      <c r="A2732" t="s">
        <v>5322</v>
      </c>
      <c r="B2732">
        <v>185262</v>
      </c>
    </row>
    <row r="2733" spans="1:2" x14ac:dyDescent="0.25">
      <c r="A2733" t="s">
        <v>5323</v>
      </c>
      <c r="B2733">
        <v>440031</v>
      </c>
    </row>
    <row r="2734" spans="1:2" x14ac:dyDescent="0.25">
      <c r="A2734" t="s">
        <v>5324</v>
      </c>
      <c r="B2734">
        <v>182892</v>
      </c>
    </row>
    <row r="2735" spans="1:2" x14ac:dyDescent="0.25">
      <c r="A2735" t="s">
        <v>5325</v>
      </c>
      <c r="B2735">
        <v>183062</v>
      </c>
    </row>
    <row r="2736" spans="1:2" x14ac:dyDescent="0.25">
      <c r="A2736" t="s">
        <v>5326</v>
      </c>
      <c r="B2736">
        <v>192165</v>
      </c>
    </row>
    <row r="2737" spans="1:2" x14ac:dyDescent="0.25">
      <c r="A2737" t="s">
        <v>5327</v>
      </c>
      <c r="B2737">
        <v>135081</v>
      </c>
    </row>
    <row r="2738" spans="1:2" x14ac:dyDescent="0.25">
      <c r="A2738" t="s">
        <v>5328</v>
      </c>
      <c r="B2738">
        <v>170550</v>
      </c>
    </row>
    <row r="2739" spans="1:2" x14ac:dyDescent="0.25">
      <c r="A2739" t="s">
        <v>5329</v>
      </c>
      <c r="B2739">
        <v>161192</v>
      </c>
    </row>
    <row r="2740" spans="1:2" x14ac:dyDescent="0.25">
      <c r="A2740" t="s">
        <v>5330</v>
      </c>
      <c r="B2740">
        <v>486840</v>
      </c>
    </row>
    <row r="2741" spans="1:2" x14ac:dyDescent="0.25">
      <c r="A2741" t="s">
        <v>5331</v>
      </c>
      <c r="B2741">
        <v>218195</v>
      </c>
    </row>
    <row r="2742" spans="1:2" x14ac:dyDescent="0.25">
      <c r="A2742" t="s">
        <v>5332</v>
      </c>
      <c r="B2742">
        <v>445850</v>
      </c>
    </row>
    <row r="2743" spans="1:2" x14ac:dyDescent="0.25">
      <c r="A2743" t="s">
        <v>5333</v>
      </c>
      <c r="B2743">
        <v>460011</v>
      </c>
    </row>
    <row r="2744" spans="1:2" x14ac:dyDescent="0.25">
      <c r="A2744" t="s">
        <v>5334</v>
      </c>
      <c r="B2744">
        <v>489159</v>
      </c>
    </row>
    <row r="2745" spans="1:2" x14ac:dyDescent="0.25">
      <c r="A2745" t="s">
        <v>5335</v>
      </c>
      <c r="B2745">
        <v>467906</v>
      </c>
    </row>
    <row r="2746" spans="1:2" x14ac:dyDescent="0.25">
      <c r="A2746" t="s">
        <v>5336</v>
      </c>
      <c r="B2746">
        <v>218159</v>
      </c>
    </row>
    <row r="2747" spans="1:2" x14ac:dyDescent="0.25">
      <c r="A2747" t="s">
        <v>5337</v>
      </c>
      <c r="B2747">
        <v>432117</v>
      </c>
    </row>
    <row r="2748" spans="1:2" x14ac:dyDescent="0.25">
      <c r="A2748" t="s">
        <v>5338</v>
      </c>
      <c r="B2748">
        <v>445841</v>
      </c>
    </row>
    <row r="2749" spans="1:2" x14ac:dyDescent="0.25">
      <c r="A2749" t="s">
        <v>5339</v>
      </c>
      <c r="B2749">
        <v>488439</v>
      </c>
    </row>
    <row r="2750" spans="1:2" x14ac:dyDescent="0.25">
      <c r="A2750" t="s">
        <v>5340</v>
      </c>
      <c r="B2750">
        <v>493497</v>
      </c>
    </row>
    <row r="2751" spans="1:2" x14ac:dyDescent="0.25">
      <c r="A2751" t="s">
        <v>5341</v>
      </c>
      <c r="B2751">
        <v>177816</v>
      </c>
    </row>
    <row r="2752" spans="1:2" x14ac:dyDescent="0.25">
      <c r="A2752" t="s">
        <v>5342</v>
      </c>
      <c r="B2752">
        <v>203447</v>
      </c>
    </row>
    <row r="2753" spans="1:2" x14ac:dyDescent="0.25">
      <c r="A2753" t="s">
        <v>5343</v>
      </c>
      <c r="B2753">
        <v>203456</v>
      </c>
    </row>
    <row r="2754" spans="1:2" x14ac:dyDescent="0.25">
      <c r="A2754" t="s">
        <v>5344</v>
      </c>
      <c r="B2754">
        <v>203526</v>
      </c>
    </row>
    <row r="2755" spans="1:2" x14ac:dyDescent="0.25">
      <c r="A2755" t="s">
        <v>5345</v>
      </c>
      <c r="B2755">
        <v>203517</v>
      </c>
    </row>
    <row r="2756" spans="1:2" x14ac:dyDescent="0.25">
      <c r="A2756" t="s">
        <v>5346</v>
      </c>
      <c r="B2756">
        <v>203492</v>
      </c>
    </row>
    <row r="2757" spans="1:2" x14ac:dyDescent="0.25">
      <c r="A2757" t="s">
        <v>5347</v>
      </c>
      <c r="B2757">
        <v>203465</v>
      </c>
    </row>
    <row r="2758" spans="1:2" x14ac:dyDescent="0.25">
      <c r="A2758" t="s">
        <v>5348</v>
      </c>
      <c r="B2758">
        <v>203474</v>
      </c>
    </row>
    <row r="2759" spans="1:2" x14ac:dyDescent="0.25">
      <c r="A2759" t="s">
        <v>5349</v>
      </c>
      <c r="B2759">
        <v>203483</v>
      </c>
    </row>
    <row r="2760" spans="1:2" x14ac:dyDescent="0.25">
      <c r="A2760" t="s">
        <v>5350</v>
      </c>
      <c r="B2760">
        <v>157100</v>
      </c>
    </row>
    <row r="2761" spans="1:2" x14ac:dyDescent="0.25">
      <c r="A2761" t="s">
        <v>5351</v>
      </c>
      <c r="B2761">
        <v>157854</v>
      </c>
    </row>
    <row r="2762" spans="1:2" x14ac:dyDescent="0.25">
      <c r="A2762" t="s">
        <v>5352</v>
      </c>
      <c r="B2762">
        <v>487904</v>
      </c>
    </row>
    <row r="2763" spans="1:2" x14ac:dyDescent="0.25">
      <c r="A2763" t="s">
        <v>5353</v>
      </c>
      <c r="B2763">
        <v>157030</v>
      </c>
    </row>
    <row r="2764" spans="1:2" x14ac:dyDescent="0.25">
      <c r="A2764" t="s">
        <v>5354</v>
      </c>
      <c r="B2764">
        <v>157058</v>
      </c>
    </row>
    <row r="2765" spans="1:2" x14ac:dyDescent="0.25">
      <c r="A2765" t="s">
        <v>5355</v>
      </c>
      <c r="B2765">
        <v>157076</v>
      </c>
    </row>
    <row r="2766" spans="1:2" x14ac:dyDescent="0.25">
      <c r="A2766" t="s">
        <v>5356</v>
      </c>
      <c r="B2766">
        <v>203535</v>
      </c>
    </row>
    <row r="2767" spans="1:2" x14ac:dyDescent="0.25">
      <c r="A2767" t="s">
        <v>5357</v>
      </c>
      <c r="B2767">
        <v>461847</v>
      </c>
    </row>
    <row r="2768" spans="1:2" x14ac:dyDescent="0.25">
      <c r="A2768" t="s">
        <v>5358</v>
      </c>
      <c r="B2768">
        <v>203544</v>
      </c>
    </row>
    <row r="2769" spans="1:2" x14ac:dyDescent="0.25">
      <c r="A2769" t="s">
        <v>5359</v>
      </c>
      <c r="B2769">
        <v>169983</v>
      </c>
    </row>
    <row r="2770" spans="1:2" x14ac:dyDescent="0.25">
      <c r="A2770" t="s">
        <v>5360</v>
      </c>
      <c r="B2770">
        <v>192192</v>
      </c>
    </row>
    <row r="2771" spans="1:2" x14ac:dyDescent="0.25">
      <c r="A2771" t="s">
        <v>5361</v>
      </c>
      <c r="B2771">
        <v>457475</v>
      </c>
    </row>
    <row r="2772" spans="1:2" x14ac:dyDescent="0.25">
      <c r="A2772" t="s">
        <v>5362</v>
      </c>
      <c r="B2772">
        <v>461315</v>
      </c>
    </row>
    <row r="2773" spans="1:2" x14ac:dyDescent="0.25">
      <c r="A2773" t="s">
        <v>5363</v>
      </c>
      <c r="B2773">
        <v>134422</v>
      </c>
    </row>
    <row r="2774" spans="1:2" x14ac:dyDescent="0.25">
      <c r="A2774" t="s">
        <v>5364</v>
      </c>
      <c r="B2774">
        <v>213303</v>
      </c>
    </row>
    <row r="2775" spans="1:2" x14ac:dyDescent="0.25">
      <c r="A2775" t="s">
        <v>5365</v>
      </c>
      <c r="B2775">
        <v>375726</v>
      </c>
    </row>
    <row r="2776" spans="1:2" x14ac:dyDescent="0.25">
      <c r="A2776" t="s">
        <v>5366</v>
      </c>
      <c r="B2776">
        <v>226019</v>
      </c>
    </row>
    <row r="2777" spans="1:2" x14ac:dyDescent="0.25">
      <c r="A2777" t="s">
        <v>5367</v>
      </c>
      <c r="B2777">
        <v>220516</v>
      </c>
    </row>
    <row r="2778" spans="1:2" x14ac:dyDescent="0.25">
      <c r="A2778" t="s">
        <v>5368</v>
      </c>
      <c r="B2778">
        <v>213321</v>
      </c>
    </row>
    <row r="2779" spans="1:2" x14ac:dyDescent="0.25">
      <c r="A2779" t="s">
        <v>5369</v>
      </c>
      <c r="B2779">
        <v>417628</v>
      </c>
    </row>
    <row r="2780" spans="1:2" x14ac:dyDescent="0.25">
      <c r="A2780" t="s">
        <v>5370</v>
      </c>
      <c r="B2780">
        <v>153737</v>
      </c>
    </row>
    <row r="2781" spans="1:2" x14ac:dyDescent="0.25">
      <c r="A2781" t="s">
        <v>5371</v>
      </c>
      <c r="B2781">
        <v>170587</v>
      </c>
    </row>
    <row r="2782" spans="1:2" x14ac:dyDescent="0.25">
      <c r="A2782" t="s">
        <v>5372</v>
      </c>
      <c r="B2782">
        <v>146418</v>
      </c>
    </row>
    <row r="2783" spans="1:2" x14ac:dyDescent="0.25">
      <c r="A2783" t="s">
        <v>5373</v>
      </c>
      <c r="B2783">
        <v>428392</v>
      </c>
    </row>
    <row r="2784" spans="1:2" x14ac:dyDescent="0.25">
      <c r="A2784" t="s">
        <v>5374</v>
      </c>
      <c r="B2784">
        <v>146427</v>
      </c>
    </row>
    <row r="2785" spans="1:2" x14ac:dyDescent="0.25">
      <c r="A2785" t="s">
        <v>5375</v>
      </c>
      <c r="B2785">
        <v>375373</v>
      </c>
    </row>
    <row r="2786" spans="1:2" x14ac:dyDescent="0.25">
      <c r="A2786" t="s">
        <v>5376</v>
      </c>
      <c r="B2786">
        <v>490452</v>
      </c>
    </row>
    <row r="2787" spans="1:2" x14ac:dyDescent="0.25">
      <c r="A2787" t="s">
        <v>5377</v>
      </c>
      <c r="B2787">
        <v>213349</v>
      </c>
    </row>
    <row r="2788" spans="1:2" x14ac:dyDescent="0.25">
      <c r="A2788" t="s">
        <v>5378</v>
      </c>
      <c r="B2788">
        <v>171881</v>
      </c>
    </row>
    <row r="2789" spans="1:2" x14ac:dyDescent="0.25">
      <c r="A2789" t="s">
        <v>5379</v>
      </c>
      <c r="B2789">
        <v>490717</v>
      </c>
    </row>
    <row r="2790" spans="1:2" x14ac:dyDescent="0.25">
      <c r="A2790" t="s">
        <v>5380</v>
      </c>
      <c r="B2790">
        <v>429012</v>
      </c>
    </row>
    <row r="2791" spans="1:2" x14ac:dyDescent="0.25">
      <c r="A2791" t="s">
        <v>5381</v>
      </c>
      <c r="B2791">
        <v>383163</v>
      </c>
    </row>
    <row r="2792" spans="1:2" x14ac:dyDescent="0.25">
      <c r="A2792" t="s">
        <v>5382</v>
      </c>
      <c r="B2792">
        <v>135142</v>
      </c>
    </row>
    <row r="2793" spans="1:2" x14ac:dyDescent="0.25">
      <c r="A2793" t="s">
        <v>5383</v>
      </c>
      <c r="B2793">
        <v>153773</v>
      </c>
    </row>
    <row r="2794" spans="1:2" x14ac:dyDescent="0.25">
      <c r="A2794" t="s">
        <v>5384</v>
      </c>
      <c r="B2794">
        <v>153746</v>
      </c>
    </row>
    <row r="2795" spans="1:2" x14ac:dyDescent="0.25">
      <c r="A2795" t="s">
        <v>5385</v>
      </c>
      <c r="B2795">
        <v>154332</v>
      </c>
    </row>
    <row r="2796" spans="1:2" x14ac:dyDescent="0.25">
      <c r="A2796" t="s">
        <v>5386</v>
      </c>
      <c r="B2796">
        <v>153782</v>
      </c>
    </row>
    <row r="2797" spans="1:2" x14ac:dyDescent="0.25">
      <c r="A2797" t="s">
        <v>5387</v>
      </c>
      <c r="B2797">
        <v>154341</v>
      </c>
    </row>
    <row r="2798" spans="1:2" x14ac:dyDescent="0.25">
      <c r="A2798" t="s">
        <v>5388</v>
      </c>
      <c r="B2798">
        <v>153764</v>
      </c>
    </row>
    <row r="2799" spans="1:2" x14ac:dyDescent="0.25">
      <c r="A2799" t="s">
        <v>5389</v>
      </c>
      <c r="B2799">
        <v>213358</v>
      </c>
    </row>
    <row r="2800" spans="1:2" x14ac:dyDescent="0.25">
      <c r="A2800" t="s">
        <v>5390</v>
      </c>
      <c r="B2800">
        <v>213367</v>
      </c>
    </row>
    <row r="2801" spans="1:2" x14ac:dyDescent="0.25">
      <c r="A2801" t="s">
        <v>5391</v>
      </c>
      <c r="B2801">
        <v>117627</v>
      </c>
    </row>
    <row r="2802" spans="1:2" x14ac:dyDescent="0.25">
      <c r="A2802" t="s">
        <v>5392</v>
      </c>
      <c r="B2802">
        <v>483920</v>
      </c>
    </row>
    <row r="2803" spans="1:2" x14ac:dyDescent="0.25">
      <c r="A2803" t="s">
        <v>5393</v>
      </c>
      <c r="B2803">
        <v>155450</v>
      </c>
    </row>
    <row r="2804" spans="1:2" x14ac:dyDescent="0.25">
      <c r="A2804" t="s">
        <v>5394</v>
      </c>
      <c r="B2804">
        <v>165264</v>
      </c>
    </row>
    <row r="2805" spans="1:2" x14ac:dyDescent="0.25">
      <c r="A2805" t="s">
        <v>5395</v>
      </c>
      <c r="B2805">
        <v>260372</v>
      </c>
    </row>
    <row r="2806" spans="1:2" x14ac:dyDescent="0.25">
      <c r="A2806" t="s">
        <v>5396</v>
      </c>
      <c r="B2806">
        <v>213376</v>
      </c>
    </row>
    <row r="2807" spans="1:2" x14ac:dyDescent="0.25">
      <c r="A2807" t="s">
        <v>5397</v>
      </c>
      <c r="B2807">
        <v>213385</v>
      </c>
    </row>
    <row r="2808" spans="1:2" x14ac:dyDescent="0.25">
      <c r="A2808" t="s">
        <v>5398</v>
      </c>
      <c r="B2808">
        <v>140234</v>
      </c>
    </row>
    <row r="2809" spans="1:2" x14ac:dyDescent="0.25">
      <c r="A2809" t="s">
        <v>5399</v>
      </c>
      <c r="B2809">
        <v>117168</v>
      </c>
    </row>
    <row r="2810" spans="1:2" x14ac:dyDescent="0.25">
      <c r="A2810" t="s">
        <v>5400</v>
      </c>
      <c r="B2810">
        <v>219143</v>
      </c>
    </row>
    <row r="2811" spans="1:2" x14ac:dyDescent="0.25">
      <c r="A2811" t="s">
        <v>5401</v>
      </c>
      <c r="B2811">
        <v>177870</v>
      </c>
    </row>
    <row r="2812" spans="1:2" x14ac:dyDescent="0.25">
      <c r="A2812" t="s">
        <v>5402</v>
      </c>
      <c r="B2812">
        <v>203580</v>
      </c>
    </row>
    <row r="2813" spans="1:2" x14ac:dyDescent="0.25">
      <c r="A2813" t="s">
        <v>5403</v>
      </c>
      <c r="B2813">
        <v>407629</v>
      </c>
    </row>
    <row r="2814" spans="1:2" x14ac:dyDescent="0.25">
      <c r="A2814" t="s">
        <v>5404</v>
      </c>
      <c r="B2814">
        <v>146481</v>
      </c>
    </row>
    <row r="2815" spans="1:2" x14ac:dyDescent="0.25">
      <c r="A2815" t="s">
        <v>5405</v>
      </c>
      <c r="B2815">
        <v>146490</v>
      </c>
    </row>
    <row r="2816" spans="1:2" x14ac:dyDescent="0.25">
      <c r="A2816" t="s">
        <v>5406</v>
      </c>
      <c r="B2816">
        <v>146506</v>
      </c>
    </row>
    <row r="2817" spans="1:2" x14ac:dyDescent="0.25">
      <c r="A2817" t="s">
        <v>5407</v>
      </c>
      <c r="B2817">
        <v>170620</v>
      </c>
    </row>
    <row r="2818" spans="1:2" x14ac:dyDescent="0.25">
      <c r="A2818" t="s">
        <v>5408</v>
      </c>
      <c r="B2818">
        <v>200192</v>
      </c>
    </row>
    <row r="2819" spans="1:2" x14ac:dyDescent="0.25">
      <c r="A2819" t="s">
        <v>5409</v>
      </c>
      <c r="B2819">
        <v>173461</v>
      </c>
    </row>
    <row r="2820" spans="1:2" x14ac:dyDescent="0.25">
      <c r="A2820" t="s">
        <v>5410</v>
      </c>
      <c r="B2820">
        <v>170639</v>
      </c>
    </row>
    <row r="2821" spans="1:2" x14ac:dyDescent="0.25">
      <c r="A2821" t="s">
        <v>5411</v>
      </c>
      <c r="B2821">
        <v>117195</v>
      </c>
    </row>
    <row r="2822" spans="1:2" x14ac:dyDescent="0.25">
      <c r="A2822" t="s">
        <v>5412</v>
      </c>
      <c r="B2822">
        <v>135179</v>
      </c>
    </row>
    <row r="2823" spans="1:2" x14ac:dyDescent="0.25">
      <c r="A2823" t="s">
        <v>5413</v>
      </c>
      <c r="B2823">
        <v>235699</v>
      </c>
    </row>
    <row r="2824" spans="1:2" x14ac:dyDescent="0.25">
      <c r="A2824" t="s">
        <v>5414</v>
      </c>
      <c r="B2824">
        <v>203599</v>
      </c>
    </row>
    <row r="2825" spans="1:2" x14ac:dyDescent="0.25">
      <c r="A2825" t="s">
        <v>5415</v>
      </c>
      <c r="B2825">
        <v>238980</v>
      </c>
    </row>
    <row r="2826" spans="1:2" x14ac:dyDescent="0.25">
      <c r="A2826" t="s">
        <v>5416</v>
      </c>
      <c r="B2826">
        <v>183123</v>
      </c>
    </row>
    <row r="2827" spans="1:2" x14ac:dyDescent="0.25">
      <c r="A2827" t="s">
        <v>5417</v>
      </c>
      <c r="B2827">
        <v>239008</v>
      </c>
    </row>
    <row r="2828" spans="1:2" x14ac:dyDescent="0.25">
      <c r="A2828" t="s">
        <v>5418</v>
      </c>
      <c r="B2828">
        <v>135188</v>
      </c>
    </row>
    <row r="2829" spans="1:2" x14ac:dyDescent="0.25">
      <c r="A2829" t="s">
        <v>5419</v>
      </c>
      <c r="B2829">
        <v>146533</v>
      </c>
    </row>
    <row r="2830" spans="1:2" x14ac:dyDescent="0.25">
      <c r="A2830" t="s">
        <v>5420</v>
      </c>
      <c r="B2830">
        <v>451291</v>
      </c>
    </row>
    <row r="2831" spans="1:2" x14ac:dyDescent="0.25">
      <c r="A2831" t="s">
        <v>5421</v>
      </c>
      <c r="B2831">
        <v>496706</v>
      </c>
    </row>
    <row r="2832" spans="1:2" x14ac:dyDescent="0.25">
      <c r="A2832" t="s">
        <v>5422</v>
      </c>
      <c r="B2832">
        <v>127389</v>
      </c>
    </row>
    <row r="2833" spans="1:2" x14ac:dyDescent="0.25">
      <c r="A2833" t="s">
        <v>5423</v>
      </c>
      <c r="B2833">
        <v>441760</v>
      </c>
    </row>
    <row r="2834" spans="1:2" x14ac:dyDescent="0.25">
      <c r="A2834" t="s">
        <v>5424</v>
      </c>
      <c r="B2834">
        <v>226107</v>
      </c>
    </row>
    <row r="2835" spans="1:2" x14ac:dyDescent="0.25">
      <c r="A2835" t="s">
        <v>5425</v>
      </c>
      <c r="B2835">
        <v>226116</v>
      </c>
    </row>
    <row r="2836" spans="1:2" x14ac:dyDescent="0.25">
      <c r="A2836" t="s">
        <v>5426</v>
      </c>
      <c r="B2836">
        <v>226091</v>
      </c>
    </row>
    <row r="2837" spans="1:2" x14ac:dyDescent="0.25">
      <c r="A2837" t="s">
        <v>5427</v>
      </c>
      <c r="B2837">
        <v>456214</v>
      </c>
    </row>
    <row r="2838" spans="1:2" x14ac:dyDescent="0.25">
      <c r="A2838" t="s">
        <v>5428</v>
      </c>
      <c r="B2838">
        <v>117238</v>
      </c>
    </row>
    <row r="2839" spans="1:2" x14ac:dyDescent="0.25">
      <c r="A2839" t="s">
        <v>5429</v>
      </c>
      <c r="B2839">
        <v>213400</v>
      </c>
    </row>
    <row r="2840" spans="1:2" x14ac:dyDescent="0.25">
      <c r="A2840" t="s">
        <v>5430</v>
      </c>
      <c r="B2840">
        <v>418533</v>
      </c>
    </row>
    <row r="2841" spans="1:2" x14ac:dyDescent="0.25">
      <c r="A2841" t="s">
        <v>5431</v>
      </c>
      <c r="B2841">
        <v>213455</v>
      </c>
    </row>
    <row r="2842" spans="1:2" x14ac:dyDescent="0.25">
      <c r="A2842" t="s">
        <v>5432</v>
      </c>
      <c r="B2842">
        <v>213446</v>
      </c>
    </row>
    <row r="2843" spans="1:2" x14ac:dyDescent="0.25">
      <c r="A2843" t="s">
        <v>5433</v>
      </c>
      <c r="B2843">
        <v>218229</v>
      </c>
    </row>
    <row r="2844" spans="1:2" x14ac:dyDescent="0.25">
      <c r="A2844" t="s">
        <v>5434</v>
      </c>
      <c r="B2844">
        <v>247649</v>
      </c>
    </row>
    <row r="2845" spans="1:2" x14ac:dyDescent="0.25">
      <c r="A2845" t="s">
        <v>5435</v>
      </c>
      <c r="B2845">
        <v>220598</v>
      </c>
    </row>
    <row r="2846" spans="1:2" x14ac:dyDescent="0.25">
      <c r="A2846" t="s">
        <v>5436</v>
      </c>
      <c r="B2846">
        <v>209038</v>
      </c>
    </row>
    <row r="2847" spans="1:2" x14ac:dyDescent="0.25">
      <c r="A2847" t="s">
        <v>5437</v>
      </c>
      <c r="B2847">
        <v>117247</v>
      </c>
    </row>
    <row r="2848" spans="1:2" x14ac:dyDescent="0.25">
      <c r="A2848" t="s">
        <v>5438</v>
      </c>
      <c r="B2848">
        <v>207209</v>
      </c>
    </row>
    <row r="2849" spans="1:2" x14ac:dyDescent="0.25">
      <c r="A2849" t="s">
        <v>5439</v>
      </c>
      <c r="B2849">
        <v>140243</v>
      </c>
    </row>
    <row r="2850" spans="1:2" x14ac:dyDescent="0.25">
      <c r="A2850" t="s">
        <v>5440</v>
      </c>
      <c r="B2850">
        <v>213473</v>
      </c>
    </row>
    <row r="2851" spans="1:2" x14ac:dyDescent="0.25">
      <c r="A2851" t="s">
        <v>5441</v>
      </c>
      <c r="B2851">
        <v>213491</v>
      </c>
    </row>
    <row r="2852" spans="1:2" x14ac:dyDescent="0.25">
      <c r="A2852" t="s">
        <v>5442</v>
      </c>
      <c r="B2852">
        <v>170657</v>
      </c>
    </row>
    <row r="2853" spans="1:2" x14ac:dyDescent="0.25">
      <c r="A2853" t="s">
        <v>5443</v>
      </c>
      <c r="B2853">
        <v>240620</v>
      </c>
    </row>
    <row r="2854" spans="1:2" x14ac:dyDescent="0.25">
      <c r="A2854" t="s">
        <v>5444</v>
      </c>
      <c r="B2854">
        <v>226125</v>
      </c>
    </row>
    <row r="2855" spans="1:2" x14ac:dyDescent="0.25">
      <c r="A2855" t="s">
        <v>5445</v>
      </c>
      <c r="B2855">
        <v>486503</v>
      </c>
    </row>
    <row r="2856" spans="1:2" x14ac:dyDescent="0.25">
      <c r="A2856" t="s">
        <v>5446</v>
      </c>
      <c r="B2856">
        <v>226134</v>
      </c>
    </row>
    <row r="2857" spans="1:2" x14ac:dyDescent="0.25">
      <c r="A2857" t="s">
        <v>5447</v>
      </c>
      <c r="B2857">
        <v>476489</v>
      </c>
    </row>
    <row r="2858" spans="1:2" x14ac:dyDescent="0.25">
      <c r="A2858" t="s">
        <v>5447</v>
      </c>
      <c r="B2858">
        <v>495387</v>
      </c>
    </row>
    <row r="2859" spans="1:2" x14ac:dyDescent="0.25">
      <c r="A2859" t="s">
        <v>5448</v>
      </c>
      <c r="B2859">
        <v>496964</v>
      </c>
    </row>
    <row r="2860" spans="1:2" x14ac:dyDescent="0.25">
      <c r="A2860" t="s">
        <v>5449</v>
      </c>
      <c r="B2860">
        <v>366401</v>
      </c>
    </row>
    <row r="2861" spans="1:2" x14ac:dyDescent="0.25">
      <c r="A2861" t="s">
        <v>5450</v>
      </c>
      <c r="B2861">
        <v>182148</v>
      </c>
    </row>
    <row r="2862" spans="1:2" x14ac:dyDescent="0.25">
      <c r="A2862" t="s">
        <v>5451</v>
      </c>
      <c r="B2862">
        <v>160472</v>
      </c>
    </row>
    <row r="2863" spans="1:2" x14ac:dyDescent="0.25">
      <c r="A2863" t="s">
        <v>5452</v>
      </c>
      <c r="B2863">
        <v>166391</v>
      </c>
    </row>
    <row r="2864" spans="1:2" x14ac:dyDescent="0.25">
      <c r="A2864" t="s">
        <v>5453</v>
      </c>
      <c r="B2864">
        <v>117274</v>
      </c>
    </row>
    <row r="2865" spans="1:2" x14ac:dyDescent="0.25">
      <c r="A2865" t="s">
        <v>5454</v>
      </c>
      <c r="B2865">
        <v>117283</v>
      </c>
    </row>
    <row r="2866" spans="1:2" x14ac:dyDescent="0.25">
      <c r="A2866" t="s">
        <v>5455</v>
      </c>
      <c r="B2866">
        <v>485485</v>
      </c>
    </row>
    <row r="2867" spans="1:2" x14ac:dyDescent="0.25">
      <c r="A2867" t="s">
        <v>5456</v>
      </c>
      <c r="B2867">
        <v>250027</v>
      </c>
    </row>
    <row r="2868" spans="1:2" x14ac:dyDescent="0.25">
      <c r="A2868" t="s">
        <v>5457</v>
      </c>
      <c r="B2868">
        <v>232575</v>
      </c>
    </row>
    <row r="2869" spans="1:2" x14ac:dyDescent="0.25">
      <c r="A2869" t="s">
        <v>5458</v>
      </c>
      <c r="B2869">
        <v>215992</v>
      </c>
    </row>
    <row r="2870" spans="1:2" x14ac:dyDescent="0.25">
      <c r="A2870" t="s">
        <v>5458</v>
      </c>
      <c r="B2870">
        <v>408729</v>
      </c>
    </row>
    <row r="2871" spans="1:2" x14ac:dyDescent="0.25">
      <c r="A2871" t="s">
        <v>5459</v>
      </c>
      <c r="B2871">
        <v>454786</v>
      </c>
    </row>
    <row r="2872" spans="1:2" x14ac:dyDescent="0.25">
      <c r="A2872" t="s">
        <v>5460</v>
      </c>
      <c r="B2872">
        <v>481298</v>
      </c>
    </row>
    <row r="2873" spans="1:2" x14ac:dyDescent="0.25">
      <c r="A2873" t="s">
        <v>5460</v>
      </c>
      <c r="B2873">
        <v>483957</v>
      </c>
    </row>
    <row r="2874" spans="1:2" x14ac:dyDescent="0.25">
      <c r="A2874" t="s">
        <v>5461</v>
      </c>
      <c r="B2874">
        <v>166407</v>
      </c>
    </row>
    <row r="2875" spans="1:2" x14ac:dyDescent="0.25">
      <c r="A2875" t="s">
        <v>5462</v>
      </c>
      <c r="B2875">
        <v>170675</v>
      </c>
    </row>
    <row r="2876" spans="1:2" x14ac:dyDescent="0.25">
      <c r="A2876" t="s">
        <v>5463</v>
      </c>
      <c r="B2876">
        <v>239017</v>
      </c>
    </row>
    <row r="2877" spans="1:2" x14ac:dyDescent="0.25">
      <c r="A2877" t="s">
        <v>5464</v>
      </c>
      <c r="B2877">
        <v>101569</v>
      </c>
    </row>
    <row r="2878" spans="1:2" x14ac:dyDescent="0.25">
      <c r="A2878" t="s">
        <v>5465</v>
      </c>
      <c r="B2878">
        <v>192323</v>
      </c>
    </row>
    <row r="2879" spans="1:2" x14ac:dyDescent="0.25">
      <c r="A2879" t="s">
        <v>5466</v>
      </c>
      <c r="B2879">
        <v>220604</v>
      </c>
    </row>
    <row r="2880" spans="1:2" x14ac:dyDescent="0.25">
      <c r="A2880" t="s">
        <v>5467</v>
      </c>
      <c r="B2880">
        <v>483221</v>
      </c>
    </row>
    <row r="2881" spans="1:2" x14ac:dyDescent="0.25">
      <c r="A2881" t="s">
        <v>5468</v>
      </c>
      <c r="B2881">
        <v>488138</v>
      </c>
    </row>
    <row r="2882" spans="1:2" x14ac:dyDescent="0.25">
      <c r="A2882" t="s">
        <v>5469</v>
      </c>
      <c r="B2882">
        <v>488235</v>
      </c>
    </row>
    <row r="2883" spans="1:2" x14ac:dyDescent="0.25">
      <c r="A2883" t="s">
        <v>5470</v>
      </c>
      <c r="B2883">
        <v>418542</v>
      </c>
    </row>
    <row r="2884" spans="1:2" x14ac:dyDescent="0.25">
      <c r="A2884" t="s">
        <v>5471</v>
      </c>
      <c r="B2884">
        <v>213507</v>
      </c>
    </row>
    <row r="2885" spans="1:2" x14ac:dyDescent="0.25">
      <c r="A2885" t="s">
        <v>5472</v>
      </c>
      <c r="B2885">
        <v>226204</v>
      </c>
    </row>
    <row r="2886" spans="1:2" x14ac:dyDescent="0.25">
      <c r="A2886" t="s">
        <v>5473</v>
      </c>
      <c r="B2886">
        <v>484172</v>
      </c>
    </row>
    <row r="2887" spans="1:2" x14ac:dyDescent="0.25">
      <c r="A2887" t="s">
        <v>5474</v>
      </c>
      <c r="B2887">
        <v>220613</v>
      </c>
    </row>
    <row r="2888" spans="1:2" x14ac:dyDescent="0.25">
      <c r="A2888" t="s">
        <v>5475</v>
      </c>
      <c r="B2888">
        <v>413626</v>
      </c>
    </row>
    <row r="2889" spans="1:2" x14ac:dyDescent="0.25">
      <c r="A2889" t="s">
        <v>5476</v>
      </c>
      <c r="B2889">
        <v>198808</v>
      </c>
    </row>
    <row r="2890" spans="1:2" x14ac:dyDescent="0.25">
      <c r="A2890" t="s">
        <v>5477</v>
      </c>
      <c r="B2890">
        <v>141811</v>
      </c>
    </row>
    <row r="2891" spans="1:2" x14ac:dyDescent="0.25">
      <c r="A2891" t="s">
        <v>5478</v>
      </c>
      <c r="B2891">
        <v>444228</v>
      </c>
    </row>
    <row r="2892" spans="1:2" x14ac:dyDescent="0.25">
      <c r="A2892" t="s">
        <v>5479</v>
      </c>
      <c r="B2892">
        <v>213525</v>
      </c>
    </row>
    <row r="2893" spans="1:2" x14ac:dyDescent="0.25">
      <c r="A2893" t="s">
        <v>5480</v>
      </c>
      <c r="B2893">
        <v>213543</v>
      </c>
    </row>
    <row r="2894" spans="1:2" x14ac:dyDescent="0.25">
      <c r="A2894" t="s">
        <v>5481</v>
      </c>
      <c r="B2894">
        <v>491677</v>
      </c>
    </row>
    <row r="2895" spans="1:2" x14ac:dyDescent="0.25">
      <c r="A2895" t="s">
        <v>5482</v>
      </c>
      <c r="B2895">
        <v>418515</v>
      </c>
    </row>
    <row r="2896" spans="1:2" x14ac:dyDescent="0.25">
      <c r="A2896" t="s">
        <v>5483</v>
      </c>
      <c r="B2896">
        <v>198817</v>
      </c>
    </row>
    <row r="2897" spans="1:2" x14ac:dyDescent="0.25">
      <c r="A2897" t="s">
        <v>5484</v>
      </c>
      <c r="B2897">
        <v>198835</v>
      </c>
    </row>
    <row r="2898" spans="1:2" x14ac:dyDescent="0.25">
      <c r="A2898" t="s">
        <v>5485</v>
      </c>
      <c r="B2898">
        <v>441618</v>
      </c>
    </row>
    <row r="2899" spans="1:2" x14ac:dyDescent="0.25">
      <c r="A2899" t="s">
        <v>5486</v>
      </c>
      <c r="B2899">
        <v>198844</v>
      </c>
    </row>
    <row r="2900" spans="1:2" x14ac:dyDescent="0.25">
      <c r="A2900" t="s">
        <v>5487</v>
      </c>
      <c r="B2900">
        <v>166452</v>
      </c>
    </row>
    <row r="2901" spans="1:2" x14ac:dyDescent="0.25">
      <c r="A2901" t="s">
        <v>5488</v>
      </c>
      <c r="B2901">
        <v>457633</v>
      </c>
    </row>
    <row r="2902" spans="1:2" x14ac:dyDescent="0.25">
      <c r="A2902" t="s">
        <v>5489</v>
      </c>
      <c r="B2902">
        <v>444732</v>
      </c>
    </row>
    <row r="2903" spans="1:2" x14ac:dyDescent="0.25">
      <c r="A2903" t="s">
        <v>5490</v>
      </c>
      <c r="B2903">
        <v>226231</v>
      </c>
    </row>
    <row r="2904" spans="1:2" x14ac:dyDescent="0.25">
      <c r="A2904" t="s">
        <v>5491</v>
      </c>
      <c r="B2904">
        <v>213552</v>
      </c>
    </row>
    <row r="2905" spans="1:2" x14ac:dyDescent="0.25">
      <c r="A2905" t="s">
        <v>5492</v>
      </c>
      <c r="B2905">
        <v>209056</v>
      </c>
    </row>
    <row r="2906" spans="1:2" x14ac:dyDescent="0.25">
      <c r="A2906" t="s">
        <v>5493</v>
      </c>
      <c r="B2906">
        <v>146603</v>
      </c>
    </row>
    <row r="2907" spans="1:2" x14ac:dyDescent="0.25">
      <c r="A2907" t="s">
        <v>5494</v>
      </c>
      <c r="B2907">
        <v>146612</v>
      </c>
    </row>
    <row r="2908" spans="1:2" x14ac:dyDescent="0.25">
      <c r="A2908" t="s">
        <v>5495</v>
      </c>
      <c r="B2908">
        <v>142328</v>
      </c>
    </row>
    <row r="2909" spans="1:2" x14ac:dyDescent="0.25">
      <c r="A2909" t="s">
        <v>5496</v>
      </c>
      <c r="B2909">
        <v>177931</v>
      </c>
    </row>
    <row r="2910" spans="1:2" x14ac:dyDescent="0.25">
      <c r="A2910" t="s">
        <v>5497</v>
      </c>
      <c r="B2910">
        <v>450632</v>
      </c>
    </row>
    <row r="2911" spans="1:2" x14ac:dyDescent="0.25">
      <c r="A2911" t="s">
        <v>5498</v>
      </c>
      <c r="B2911">
        <v>157207</v>
      </c>
    </row>
    <row r="2912" spans="1:2" x14ac:dyDescent="0.25">
      <c r="A2912" t="s">
        <v>5499</v>
      </c>
      <c r="B2912">
        <v>427335</v>
      </c>
    </row>
    <row r="2913" spans="1:2" x14ac:dyDescent="0.25">
      <c r="A2913" t="s">
        <v>5500</v>
      </c>
      <c r="B2913">
        <v>455956</v>
      </c>
    </row>
    <row r="2914" spans="1:2" x14ac:dyDescent="0.25">
      <c r="A2914" t="s">
        <v>5501</v>
      </c>
      <c r="B2914">
        <v>232557</v>
      </c>
    </row>
    <row r="2915" spans="1:2" x14ac:dyDescent="0.25">
      <c r="A2915" t="s">
        <v>5502</v>
      </c>
      <c r="B2915">
        <v>242820</v>
      </c>
    </row>
    <row r="2916" spans="1:2" x14ac:dyDescent="0.25">
      <c r="A2916" t="s">
        <v>5503</v>
      </c>
      <c r="B2916">
        <v>376330</v>
      </c>
    </row>
    <row r="2917" spans="1:2" x14ac:dyDescent="0.25">
      <c r="A2917" t="s">
        <v>5504</v>
      </c>
      <c r="B2917">
        <v>117520</v>
      </c>
    </row>
    <row r="2918" spans="1:2" x14ac:dyDescent="0.25">
      <c r="A2918" t="s">
        <v>5505</v>
      </c>
      <c r="B2918">
        <v>117104</v>
      </c>
    </row>
    <row r="2919" spans="1:2" x14ac:dyDescent="0.25">
      <c r="A2919" t="s">
        <v>5506</v>
      </c>
      <c r="B2919">
        <v>140252</v>
      </c>
    </row>
    <row r="2920" spans="1:2" x14ac:dyDescent="0.25">
      <c r="A2920" t="s">
        <v>5507</v>
      </c>
      <c r="B2920">
        <v>475574</v>
      </c>
    </row>
    <row r="2921" spans="1:2" x14ac:dyDescent="0.25">
      <c r="A2921" t="s">
        <v>5508</v>
      </c>
      <c r="B2921">
        <v>494029</v>
      </c>
    </row>
    <row r="2922" spans="1:2" x14ac:dyDescent="0.25">
      <c r="A2922" t="s">
        <v>5509</v>
      </c>
      <c r="B2922">
        <v>192271</v>
      </c>
    </row>
    <row r="2923" spans="1:2" x14ac:dyDescent="0.25">
      <c r="A2923" t="s">
        <v>5510</v>
      </c>
      <c r="B2923">
        <v>218238</v>
      </c>
    </row>
    <row r="2924" spans="1:2" x14ac:dyDescent="0.25">
      <c r="A2924" t="s">
        <v>5511</v>
      </c>
      <c r="B2924">
        <v>146667</v>
      </c>
    </row>
    <row r="2925" spans="1:2" x14ac:dyDescent="0.25">
      <c r="A2925" t="s">
        <v>5512</v>
      </c>
      <c r="B2925">
        <v>146676</v>
      </c>
    </row>
    <row r="2926" spans="1:2" x14ac:dyDescent="0.25">
      <c r="A2926" t="s">
        <v>5513</v>
      </c>
      <c r="B2926">
        <v>163028</v>
      </c>
    </row>
    <row r="2927" spans="1:2" x14ac:dyDescent="0.25">
      <c r="A2927" t="s">
        <v>5514</v>
      </c>
      <c r="B2927">
        <v>126951</v>
      </c>
    </row>
    <row r="2928" spans="1:2" x14ac:dyDescent="0.25">
      <c r="A2928" t="s">
        <v>5515</v>
      </c>
      <c r="B2928">
        <v>226277</v>
      </c>
    </row>
    <row r="2929" spans="1:2" x14ac:dyDescent="0.25">
      <c r="A2929" t="s">
        <v>5516</v>
      </c>
      <c r="B2929">
        <v>151661</v>
      </c>
    </row>
    <row r="2930" spans="1:2" x14ac:dyDescent="0.25">
      <c r="A2930" t="s">
        <v>5517</v>
      </c>
      <c r="B2930">
        <v>434159</v>
      </c>
    </row>
    <row r="2931" spans="1:2" x14ac:dyDescent="0.25">
      <c r="A2931" t="s">
        <v>5518</v>
      </c>
      <c r="B2931">
        <v>146700</v>
      </c>
    </row>
    <row r="2932" spans="1:2" x14ac:dyDescent="0.25">
      <c r="A2932" t="s">
        <v>5519</v>
      </c>
      <c r="B2932">
        <v>221148</v>
      </c>
    </row>
    <row r="2933" spans="1:2" x14ac:dyDescent="0.25">
      <c r="A2933" t="s">
        <v>5520</v>
      </c>
      <c r="B2933">
        <v>146685</v>
      </c>
    </row>
    <row r="2934" spans="1:2" x14ac:dyDescent="0.25">
      <c r="A2934" t="s">
        <v>5521</v>
      </c>
      <c r="B2934">
        <v>220631</v>
      </c>
    </row>
    <row r="2935" spans="1:2" x14ac:dyDescent="0.25">
      <c r="A2935" t="s">
        <v>5522</v>
      </c>
      <c r="B2935">
        <v>213570</v>
      </c>
    </row>
    <row r="2936" spans="1:2" x14ac:dyDescent="0.25">
      <c r="A2936" t="s">
        <v>5523</v>
      </c>
      <c r="B2936">
        <v>129181</v>
      </c>
    </row>
    <row r="2937" spans="1:2" x14ac:dyDescent="0.25">
      <c r="A2937" t="s">
        <v>5524</v>
      </c>
      <c r="B2937">
        <v>184056</v>
      </c>
    </row>
    <row r="2938" spans="1:2" x14ac:dyDescent="0.25">
      <c r="A2938" t="s">
        <v>5525</v>
      </c>
      <c r="B2938">
        <v>433101</v>
      </c>
    </row>
    <row r="2939" spans="1:2" x14ac:dyDescent="0.25">
      <c r="A2939" t="s">
        <v>5526</v>
      </c>
      <c r="B2939">
        <v>420343</v>
      </c>
    </row>
    <row r="2940" spans="1:2" x14ac:dyDescent="0.25">
      <c r="A2940" t="s">
        <v>5527</v>
      </c>
      <c r="B2940">
        <v>374574</v>
      </c>
    </row>
    <row r="2941" spans="1:2" x14ac:dyDescent="0.25">
      <c r="A2941" t="s">
        <v>5528</v>
      </c>
      <c r="B2941">
        <v>129923</v>
      </c>
    </row>
    <row r="2942" spans="1:2" x14ac:dyDescent="0.25">
      <c r="A2942" t="s">
        <v>5529</v>
      </c>
      <c r="B2942">
        <v>442073</v>
      </c>
    </row>
    <row r="2943" spans="1:2" x14ac:dyDescent="0.25">
      <c r="A2943" t="s">
        <v>5530</v>
      </c>
      <c r="B2943">
        <v>213589</v>
      </c>
    </row>
    <row r="2944" spans="1:2" x14ac:dyDescent="0.25">
      <c r="A2944" t="s">
        <v>5531</v>
      </c>
      <c r="B2944">
        <v>445911</v>
      </c>
    </row>
    <row r="2945" spans="1:2" x14ac:dyDescent="0.25">
      <c r="A2945" t="s">
        <v>5532</v>
      </c>
      <c r="B2945">
        <v>165556</v>
      </c>
    </row>
    <row r="2946" spans="1:2" x14ac:dyDescent="0.25">
      <c r="A2946" t="s">
        <v>5533</v>
      </c>
      <c r="B2946">
        <v>184427</v>
      </c>
    </row>
    <row r="2947" spans="1:2" x14ac:dyDescent="0.25">
      <c r="A2947" t="s">
        <v>5534</v>
      </c>
      <c r="B2947">
        <v>185396</v>
      </c>
    </row>
    <row r="2948" spans="1:2" x14ac:dyDescent="0.25">
      <c r="A2948" t="s">
        <v>5535</v>
      </c>
      <c r="B2948">
        <v>449320</v>
      </c>
    </row>
    <row r="2949" spans="1:2" x14ac:dyDescent="0.25">
      <c r="A2949" t="s">
        <v>5536</v>
      </c>
      <c r="B2949">
        <v>403478</v>
      </c>
    </row>
    <row r="2950" spans="1:2" x14ac:dyDescent="0.25">
      <c r="A2950" t="s">
        <v>5537</v>
      </c>
      <c r="B2950">
        <v>117557</v>
      </c>
    </row>
    <row r="2951" spans="1:2" x14ac:dyDescent="0.25">
      <c r="A2951" t="s">
        <v>5537</v>
      </c>
      <c r="B2951">
        <v>177940</v>
      </c>
    </row>
    <row r="2952" spans="1:2" x14ac:dyDescent="0.25">
      <c r="A2952" t="s">
        <v>5537</v>
      </c>
      <c r="B2952">
        <v>213598</v>
      </c>
    </row>
    <row r="2953" spans="1:2" x14ac:dyDescent="0.25">
      <c r="A2953" t="s">
        <v>5538</v>
      </c>
      <c r="B2953">
        <v>177968</v>
      </c>
    </row>
    <row r="2954" spans="1:2" x14ac:dyDescent="0.25">
      <c r="A2954" t="s">
        <v>5539</v>
      </c>
      <c r="B2954">
        <v>135294</v>
      </c>
    </row>
    <row r="2955" spans="1:2" x14ac:dyDescent="0.25">
      <c r="A2955" t="s">
        <v>5540</v>
      </c>
      <c r="B2955">
        <v>461722</v>
      </c>
    </row>
    <row r="2956" spans="1:2" x14ac:dyDescent="0.25">
      <c r="A2956" t="s">
        <v>5541</v>
      </c>
      <c r="B2956">
        <v>157216</v>
      </c>
    </row>
    <row r="2957" spans="1:2" x14ac:dyDescent="0.25">
      <c r="A2957" t="s">
        <v>5542</v>
      </c>
      <c r="B2957">
        <v>209065</v>
      </c>
    </row>
    <row r="2958" spans="1:2" x14ac:dyDescent="0.25">
      <c r="A2958" t="s">
        <v>5543</v>
      </c>
      <c r="B2958">
        <v>437325</v>
      </c>
    </row>
    <row r="2959" spans="1:2" x14ac:dyDescent="0.25">
      <c r="A2959" t="s">
        <v>5544</v>
      </c>
      <c r="B2959">
        <v>437316</v>
      </c>
    </row>
    <row r="2960" spans="1:2" x14ac:dyDescent="0.25">
      <c r="A2960" t="s">
        <v>5545</v>
      </c>
      <c r="B2960">
        <v>209074</v>
      </c>
    </row>
    <row r="2961" spans="1:2" x14ac:dyDescent="0.25">
      <c r="A2961" t="s">
        <v>5546</v>
      </c>
      <c r="B2961">
        <v>485519</v>
      </c>
    </row>
    <row r="2962" spans="1:2" x14ac:dyDescent="0.25">
      <c r="A2962" t="s">
        <v>5547</v>
      </c>
      <c r="B2962">
        <v>219976</v>
      </c>
    </row>
    <row r="2963" spans="1:2" x14ac:dyDescent="0.25">
      <c r="A2963" t="s">
        <v>5548</v>
      </c>
      <c r="B2963">
        <v>180328</v>
      </c>
    </row>
    <row r="2964" spans="1:2" x14ac:dyDescent="0.25">
      <c r="A2964" t="s">
        <v>5549</v>
      </c>
      <c r="B2964">
        <v>434016</v>
      </c>
    </row>
    <row r="2965" spans="1:2" x14ac:dyDescent="0.25">
      <c r="A2965" t="s">
        <v>5550</v>
      </c>
      <c r="B2965">
        <v>135276</v>
      </c>
    </row>
    <row r="2966" spans="1:2" x14ac:dyDescent="0.25">
      <c r="A2966" t="s">
        <v>5551</v>
      </c>
      <c r="B2966">
        <v>421832</v>
      </c>
    </row>
    <row r="2967" spans="1:2" x14ac:dyDescent="0.25">
      <c r="A2967" t="s">
        <v>5552</v>
      </c>
      <c r="B2967">
        <v>198862</v>
      </c>
    </row>
    <row r="2968" spans="1:2" x14ac:dyDescent="0.25">
      <c r="A2968" t="s">
        <v>5553</v>
      </c>
      <c r="B2968">
        <v>213613</v>
      </c>
    </row>
    <row r="2969" spans="1:2" x14ac:dyDescent="0.25">
      <c r="A2969" t="s">
        <v>5554</v>
      </c>
      <c r="B2969">
        <v>177986</v>
      </c>
    </row>
    <row r="2970" spans="1:2" x14ac:dyDescent="0.25">
      <c r="A2970" t="s">
        <v>5555</v>
      </c>
      <c r="B2970">
        <v>117636</v>
      </c>
    </row>
    <row r="2971" spans="1:2" x14ac:dyDescent="0.25">
      <c r="A2971" t="s">
        <v>5556</v>
      </c>
      <c r="B2971">
        <v>227182</v>
      </c>
    </row>
    <row r="2972" spans="1:2" x14ac:dyDescent="0.25">
      <c r="A2972" t="s">
        <v>5557</v>
      </c>
      <c r="B2972">
        <v>117645</v>
      </c>
    </row>
    <row r="2973" spans="1:2" x14ac:dyDescent="0.25">
      <c r="A2973" t="s">
        <v>5558</v>
      </c>
      <c r="B2973">
        <v>383297</v>
      </c>
    </row>
    <row r="2974" spans="1:2" x14ac:dyDescent="0.25">
      <c r="A2974" t="s">
        <v>5559</v>
      </c>
      <c r="B2974">
        <v>192484</v>
      </c>
    </row>
    <row r="2975" spans="1:2" x14ac:dyDescent="0.25">
      <c r="A2975" t="s">
        <v>5560</v>
      </c>
      <c r="B2975">
        <v>192509</v>
      </c>
    </row>
    <row r="2976" spans="1:2" x14ac:dyDescent="0.25">
      <c r="A2976" t="s">
        <v>5561</v>
      </c>
      <c r="B2976">
        <v>461838</v>
      </c>
    </row>
    <row r="2977" spans="1:2" x14ac:dyDescent="0.25">
      <c r="A2977" t="s">
        <v>5562</v>
      </c>
      <c r="B2977">
        <v>192448</v>
      </c>
    </row>
    <row r="2978" spans="1:2" x14ac:dyDescent="0.25">
      <c r="A2978" t="s">
        <v>5563</v>
      </c>
      <c r="B2978">
        <v>232566</v>
      </c>
    </row>
    <row r="2979" spans="1:2" x14ac:dyDescent="0.25">
      <c r="A2979" t="s">
        <v>5564</v>
      </c>
      <c r="B2979">
        <v>166489</v>
      </c>
    </row>
    <row r="2980" spans="1:2" x14ac:dyDescent="0.25">
      <c r="A2980" t="s">
        <v>5565</v>
      </c>
      <c r="B2980">
        <v>203748</v>
      </c>
    </row>
    <row r="2981" spans="1:2" x14ac:dyDescent="0.25">
      <c r="A2981" t="s">
        <v>5566</v>
      </c>
      <c r="B2981">
        <v>409591</v>
      </c>
    </row>
    <row r="2982" spans="1:2" x14ac:dyDescent="0.25">
      <c r="A2982" t="s">
        <v>5567</v>
      </c>
      <c r="B2982">
        <v>135337</v>
      </c>
    </row>
    <row r="2983" spans="1:2" x14ac:dyDescent="0.25">
      <c r="A2983" t="s">
        <v>5568</v>
      </c>
      <c r="B2983">
        <v>153825</v>
      </c>
    </row>
    <row r="2984" spans="1:2" x14ac:dyDescent="0.25">
      <c r="A2984" t="s">
        <v>5569</v>
      </c>
      <c r="B2984">
        <v>133155</v>
      </c>
    </row>
    <row r="2985" spans="1:2" x14ac:dyDescent="0.25">
      <c r="A2985" t="s">
        <v>5570</v>
      </c>
      <c r="B2985">
        <v>490124</v>
      </c>
    </row>
    <row r="2986" spans="1:2" x14ac:dyDescent="0.25">
      <c r="A2986" t="s">
        <v>5571</v>
      </c>
      <c r="B2986">
        <v>117788</v>
      </c>
    </row>
    <row r="2987" spans="1:2" x14ac:dyDescent="0.25">
      <c r="A2987" t="s">
        <v>5572</v>
      </c>
      <c r="B2987">
        <v>446385</v>
      </c>
    </row>
    <row r="2988" spans="1:2" x14ac:dyDescent="0.25">
      <c r="A2988" t="s">
        <v>5573</v>
      </c>
      <c r="B2988">
        <v>117681</v>
      </c>
    </row>
    <row r="2989" spans="1:2" x14ac:dyDescent="0.25">
      <c r="A2989" t="s">
        <v>5574</v>
      </c>
      <c r="B2989">
        <v>117803</v>
      </c>
    </row>
    <row r="2990" spans="1:2" x14ac:dyDescent="0.25">
      <c r="A2990" t="s">
        <v>5575</v>
      </c>
      <c r="B2990">
        <v>436429</v>
      </c>
    </row>
    <row r="2991" spans="1:2" x14ac:dyDescent="0.25">
      <c r="A2991" t="s">
        <v>5576</v>
      </c>
      <c r="B2991">
        <v>117690</v>
      </c>
    </row>
    <row r="2992" spans="1:2" x14ac:dyDescent="0.25">
      <c r="A2992" t="s">
        <v>5577</v>
      </c>
      <c r="B2992">
        <v>117867</v>
      </c>
    </row>
    <row r="2993" spans="1:2" x14ac:dyDescent="0.25">
      <c r="A2993" t="s">
        <v>5578</v>
      </c>
      <c r="B2993">
        <v>400558</v>
      </c>
    </row>
    <row r="2994" spans="1:2" x14ac:dyDescent="0.25">
      <c r="A2994" t="s">
        <v>5579</v>
      </c>
      <c r="B2994">
        <v>474863</v>
      </c>
    </row>
    <row r="2995" spans="1:2" x14ac:dyDescent="0.25">
      <c r="A2995" t="s">
        <v>5580</v>
      </c>
      <c r="B2995">
        <v>117706</v>
      </c>
    </row>
    <row r="2996" spans="1:2" x14ac:dyDescent="0.25">
      <c r="A2996" t="s">
        <v>5581</v>
      </c>
      <c r="B2996">
        <v>117715</v>
      </c>
    </row>
    <row r="2997" spans="1:2" x14ac:dyDescent="0.25">
      <c r="A2997" t="s">
        <v>5582</v>
      </c>
      <c r="B2997">
        <v>117724</v>
      </c>
    </row>
    <row r="2998" spans="1:2" x14ac:dyDescent="0.25">
      <c r="A2998" t="s">
        <v>5583</v>
      </c>
      <c r="B2998">
        <v>117733</v>
      </c>
    </row>
    <row r="2999" spans="1:2" x14ac:dyDescent="0.25">
      <c r="A2999" t="s">
        <v>5584</v>
      </c>
      <c r="B2999">
        <v>117894</v>
      </c>
    </row>
    <row r="3000" spans="1:2" x14ac:dyDescent="0.25">
      <c r="A3000" t="s">
        <v>5585</v>
      </c>
      <c r="B3000">
        <v>117900</v>
      </c>
    </row>
    <row r="3001" spans="1:2" x14ac:dyDescent="0.25">
      <c r="A3001" t="s">
        <v>5586</v>
      </c>
      <c r="B3001">
        <v>494621</v>
      </c>
    </row>
    <row r="3002" spans="1:2" x14ac:dyDescent="0.25">
      <c r="A3002" t="s">
        <v>5587</v>
      </c>
      <c r="B3002">
        <v>198871</v>
      </c>
    </row>
    <row r="3003" spans="1:2" x14ac:dyDescent="0.25">
      <c r="A3003" t="s">
        <v>5588</v>
      </c>
      <c r="B3003">
        <v>159531</v>
      </c>
    </row>
    <row r="3004" spans="1:2" x14ac:dyDescent="0.25">
      <c r="A3004" t="s">
        <v>5589</v>
      </c>
      <c r="B3004">
        <v>159568</v>
      </c>
    </row>
    <row r="3005" spans="1:2" x14ac:dyDescent="0.25">
      <c r="A3005" t="s">
        <v>5590</v>
      </c>
      <c r="B3005">
        <v>449612</v>
      </c>
    </row>
    <row r="3006" spans="1:2" x14ac:dyDescent="0.25">
      <c r="A3006" t="s">
        <v>5591</v>
      </c>
      <c r="B3006">
        <v>483212</v>
      </c>
    </row>
    <row r="3007" spans="1:2" x14ac:dyDescent="0.25">
      <c r="A3007" t="s">
        <v>5592</v>
      </c>
      <c r="B3007">
        <v>159391</v>
      </c>
    </row>
    <row r="3008" spans="1:2" x14ac:dyDescent="0.25">
      <c r="A3008" t="s">
        <v>5593</v>
      </c>
      <c r="B3008">
        <v>159373</v>
      </c>
    </row>
    <row r="3009" spans="1:2" x14ac:dyDescent="0.25">
      <c r="A3009" t="s">
        <v>5594</v>
      </c>
      <c r="B3009">
        <v>435000</v>
      </c>
    </row>
    <row r="3010" spans="1:2" x14ac:dyDescent="0.25">
      <c r="A3010" t="s">
        <v>5595</v>
      </c>
      <c r="B3010">
        <v>159382</v>
      </c>
    </row>
    <row r="3011" spans="1:2" x14ac:dyDescent="0.25">
      <c r="A3011" t="s">
        <v>5596</v>
      </c>
      <c r="B3011">
        <v>159407</v>
      </c>
    </row>
    <row r="3012" spans="1:2" x14ac:dyDescent="0.25">
      <c r="A3012" t="s">
        <v>5597</v>
      </c>
      <c r="B3012">
        <v>159416</v>
      </c>
    </row>
    <row r="3013" spans="1:2" x14ac:dyDescent="0.25">
      <c r="A3013" t="s">
        <v>5598</v>
      </c>
      <c r="B3013">
        <v>159647</v>
      </c>
    </row>
    <row r="3014" spans="1:2" x14ac:dyDescent="0.25">
      <c r="A3014" t="s">
        <v>5599</v>
      </c>
      <c r="B3014">
        <v>157298</v>
      </c>
    </row>
    <row r="3015" spans="1:2" x14ac:dyDescent="0.25">
      <c r="A3015" t="s">
        <v>5600</v>
      </c>
      <c r="B3015">
        <v>203757</v>
      </c>
    </row>
    <row r="3016" spans="1:2" x14ac:dyDescent="0.25">
      <c r="A3016" t="s">
        <v>5601</v>
      </c>
      <c r="B3016">
        <v>458007</v>
      </c>
    </row>
    <row r="3017" spans="1:2" x14ac:dyDescent="0.25">
      <c r="A3017" t="s">
        <v>5602</v>
      </c>
      <c r="B3017">
        <v>166498</v>
      </c>
    </row>
    <row r="3018" spans="1:2" x14ac:dyDescent="0.25">
      <c r="A3018" t="s">
        <v>5603</v>
      </c>
      <c r="B3018">
        <v>235750</v>
      </c>
    </row>
    <row r="3019" spans="1:2" x14ac:dyDescent="0.25">
      <c r="A3019" t="s">
        <v>5604</v>
      </c>
      <c r="B3019">
        <v>117946</v>
      </c>
    </row>
    <row r="3020" spans="1:2" x14ac:dyDescent="0.25">
      <c r="A3020" t="s">
        <v>5605</v>
      </c>
      <c r="B3020">
        <v>146719</v>
      </c>
    </row>
    <row r="3021" spans="1:2" x14ac:dyDescent="0.25">
      <c r="A3021" t="s">
        <v>5606</v>
      </c>
      <c r="B3021">
        <v>163046</v>
      </c>
    </row>
    <row r="3022" spans="1:2" x14ac:dyDescent="0.25">
      <c r="A3022" t="s">
        <v>5607</v>
      </c>
      <c r="B3022">
        <v>159656</v>
      </c>
    </row>
    <row r="3023" spans="1:2" x14ac:dyDescent="0.25">
      <c r="A3023" t="s">
        <v>5608</v>
      </c>
      <c r="B3023">
        <v>117955</v>
      </c>
    </row>
    <row r="3024" spans="1:2" x14ac:dyDescent="0.25">
      <c r="A3024" t="s">
        <v>5609</v>
      </c>
      <c r="B3024">
        <v>226383</v>
      </c>
    </row>
    <row r="3025" spans="1:2" x14ac:dyDescent="0.25">
      <c r="A3025" t="s">
        <v>5610</v>
      </c>
      <c r="B3025">
        <v>483726</v>
      </c>
    </row>
    <row r="3026" spans="1:2" x14ac:dyDescent="0.25">
      <c r="A3026" t="s">
        <v>5611</v>
      </c>
      <c r="B3026">
        <v>363633</v>
      </c>
    </row>
    <row r="3027" spans="1:2" x14ac:dyDescent="0.25">
      <c r="A3027" t="s">
        <v>5612</v>
      </c>
      <c r="B3027">
        <v>101602</v>
      </c>
    </row>
    <row r="3028" spans="1:2" x14ac:dyDescent="0.25">
      <c r="A3028" t="s">
        <v>5613</v>
      </c>
      <c r="B3028">
        <v>153834</v>
      </c>
    </row>
    <row r="3029" spans="1:2" x14ac:dyDescent="0.25">
      <c r="A3029" t="s">
        <v>5614</v>
      </c>
      <c r="B3029">
        <v>135364</v>
      </c>
    </row>
    <row r="3030" spans="1:2" x14ac:dyDescent="0.25">
      <c r="A3030" t="s">
        <v>5615</v>
      </c>
      <c r="B3030">
        <v>173896</v>
      </c>
    </row>
    <row r="3031" spans="1:2" x14ac:dyDescent="0.25">
      <c r="A3031" t="s">
        <v>5616</v>
      </c>
      <c r="B3031">
        <v>178004</v>
      </c>
    </row>
    <row r="3032" spans="1:2" x14ac:dyDescent="0.25">
      <c r="A3032" t="s">
        <v>5617</v>
      </c>
      <c r="B3032">
        <v>146728</v>
      </c>
    </row>
    <row r="3033" spans="1:2" x14ac:dyDescent="0.25">
      <c r="A3033" t="s">
        <v>5618</v>
      </c>
      <c r="B3033">
        <v>213659</v>
      </c>
    </row>
    <row r="3034" spans="1:2" x14ac:dyDescent="0.25">
      <c r="A3034" t="s">
        <v>5619</v>
      </c>
      <c r="B3034">
        <v>213668</v>
      </c>
    </row>
    <row r="3035" spans="1:2" x14ac:dyDescent="0.25">
      <c r="A3035" t="s">
        <v>5620</v>
      </c>
      <c r="B3035">
        <v>118143</v>
      </c>
    </row>
    <row r="3036" spans="1:2" x14ac:dyDescent="0.25">
      <c r="A3036" t="s">
        <v>5621</v>
      </c>
      <c r="B3036">
        <v>118134</v>
      </c>
    </row>
    <row r="3037" spans="1:2" x14ac:dyDescent="0.25">
      <c r="A3037" t="s">
        <v>5622</v>
      </c>
      <c r="B3037">
        <v>132657</v>
      </c>
    </row>
    <row r="3038" spans="1:2" x14ac:dyDescent="0.25">
      <c r="A3038" t="s">
        <v>5623</v>
      </c>
      <c r="B3038">
        <v>482246</v>
      </c>
    </row>
    <row r="3039" spans="1:2" x14ac:dyDescent="0.25">
      <c r="A3039" t="s">
        <v>5624</v>
      </c>
      <c r="B3039">
        <v>492379</v>
      </c>
    </row>
    <row r="3040" spans="1:2" x14ac:dyDescent="0.25">
      <c r="A3040" t="s">
        <v>5625</v>
      </c>
      <c r="B3040">
        <v>106342</v>
      </c>
    </row>
    <row r="3041" spans="1:2" x14ac:dyDescent="0.25">
      <c r="A3041" t="s">
        <v>5626</v>
      </c>
      <c r="B3041">
        <v>118161</v>
      </c>
    </row>
    <row r="3042" spans="1:2" x14ac:dyDescent="0.25">
      <c r="A3042" t="s">
        <v>5627</v>
      </c>
      <c r="B3042">
        <v>170736</v>
      </c>
    </row>
    <row r="3043" spans="1:2" x14ac:dyDescent="0.25">
      <c r="A3043" t="s">
        <v>5628</v>
      </c>
      <c r="B3043">
        <v>481003</v>
      </c>
    </row>
    <row r="3044" spans="1:2" x14ac:dyDescent="0.25">
      <c r="A3044" t="s">
        <v>5629</v>
      </c>
      <c r="B3044">
        <v>173902</v>
      </c>
    </row>
    <row r="3045" spans="1:2" x14ac:dyDescent="0.25">
      <c r="A3045" t="s">
        <v>5630</v>
      </c>
      <c r="B3045">
        <v>146816</v>
      </c>
    </row>
    <row r="3046" spans="1:2" x14ac:dyDescent="0.25">
      <c r="A3046" t="s">
        <v>5631</v>
      </c>
      <c r="B3046">
        <v>192624</v>
      </c>
    </row>
    <row r="3047" spans="1:2" x14ac:dyDescent="0.25">
      <c r="A3047" t="s">
        <v>5632</v>
      </c>
      <c r="B3047">
        <v>170790</v>
      </c>
    </row>
    <row r="3048" spans="1:2" x14ac:dyDescent="0.25">
      <c r="A3048" t="s">
        <v>5633</v>
      </c>
      <c r="B3048">
        <v>497046</v>
      </c>
    </row>
    <row r="3049" spans="1:2" x14ac:dyDescent="0.25">
      <c r="A3049" t="s">
        <v>5634</v>
      </c>
      <c r="B3049">
        <v>375407</v>
      </c>
    </row>
    <row r="3050" spans="1:2" x14ac:dyDescent="0.25">
      <c r="A3050" t="s">
        <v>5635</v>
      </c>
      <c r="B3050">
        <v>238263</v>
      </c>
    </row>
    <row r="3051" spans="1:2" x14ac:dyDescent="0.25">
      <c r="A3051" t="s">
        <v>5636</v>
      </c>
      <c r="B3051">
        <v>379621</v>
      </c>
    </row>
    <row r="3052" spans="1:2" x14ac:dyDescent="0.25">
      <c r="A3052" t="s">
        <v>5637</v>
      </c>
      <c r="B3052">
        <v>157304</v>
      </c>
    </row>
    <row r="3053" spans="1:2" x14ac:dyDescent="0.25">
      <c r="A3053" t="s">
        <v>5638</v>
      </c>
      <c r="B3053">
        <v>170806</v>
      </c>
    </row>
    <row r="3054" spans="1:2" x14ac:dyDescent="0.25">
      <c r="A3054" t="s">
        <v>5639</v>
      </c>
      <c r="B3054">
        <v>182917</v>
      </c>
    </row>
    <row r="3055" spans="1:2" x14ac:dyDescent="0.25">
      <c r="A3055" t="s">
        <v>5640</v>
      </c>
      <c r="B3055">
        <v>176390</v>
      </c>
    </row>
    <row r="3056" spans="1:2" x14ac:dyDescent="0.25">
      <c r="A3056" t="s">
        <v>5641</v>
      </c>
      <c r="B3056">
        <v>153861</v>
      </c>
    </row>
    <row r="3057" spans="1:2" x14ac:dyDescent="0.25">
      <c r="A3057" t="s">
        <v>5642</v>
      </c>
      <c r="B3057">
        <v>407489</v>
      </c>
    </row>
    <row r="3058" spans="1:2" x14ac:dyDescent="0.25">
      <c r="A3058" t="s">
        <v>5643</v>
      </c>
      <c r="B3058">
        <v>161509</v>
      </c>
    </row>
    <row r="3059" spans="1:2" x14ac:dyDescent="0.25">
      <c r="A3059" t="s">
        <v>5644</v>
      </c>
      <c r="B3059">
        <v>161022</v>
      </c>
    </row>
    <row r="3060" spans="1:2" x14ac:dyDescent="0.25">
      <c r="A3060" t="s">
        <v>5645</v>
      </c>
      <c r="B3060">
        <v>161299</v>
      </c>
    </row>
    <row r="3061" spans="1:2" x14ac:dyDescent="0.25">
      <c r="A3061" t="s">
        <v>5646</v>
      </c>
      <c r="B3061">
        <v>490753</v>
      </c>
    </row>
    <row r="3062" spans="1:2" x14ac:dyDescent="0.25">
      <c r="A3062" t="s">
        <v>5647</v>
      </c>
      <c r="B3062">
        <v>490221</v>
      </c>
    </row>
    <row r="3063" spans="1:2" x14ac:dyDescent="0.25">
      <c r="A3063" t="s">
        <v>5648</v>
      </c>
      <c r="B3063">
        <v>495040</v>
      </c>
    </row>
    <row r="3064" spans="1:2" x14ac:dyDescent="0.25">
      <c r="A3064" t="s">
        <v>5649</v>
      </c>
      <c r="B3064">
        <v>449366</v>
      </c>
    </row>
    <row r="3065" spans="1:2" x14ac:dyDescent="0.25">
      <c r="A3065" t="s">
        <v>5650</v>
      </c>
      <c r="B3065">
        <v>203775</v>
      </c>
    </row>
    <row r="3066" spans="1:2" x14ac:dyDescent="0.25">
      <c r="A3066" t="s">
        <v>5651</v>
      </c>
      <c r="B3066">
        <v>135407</v>
      </c>
    </row>
    <row r="3067" spans="1:2" x14ac:dyDescent="0.25">
      <c r="A3067" t="s">
        <v>5652</v>
      </c>
      <c r="B3067">
        <v>129695</v>
      </c>
    </row>
    <row r="3068" spans="1:2" x14ac:dyDescent="0.25">
      <c r="A3068" t="s">
        <v>5652</v>
      </c>
      <c r="B3068">
        <v>183132</v>
      </c>
    </row>
    <row r="3069" spans="1:2" x14ac:dyDescent="0.25">
      <c r="A3069" t="s">
        <v>5653</v>
      </c>
      <c r="B3069">
        <v>151777</v>
      </c>
    </row>
    <row r="3070" spans="1:2" x14ac:dyDescent="0.25">
      <c r="A3070" t="s">
        <v>5654</v>
      </c>
      <c r="B3070">
        <v>461272</v>
      </c>
    </row>
    <row r="3071" spans="1:2" x14ac:dyDescent="0.25">
      <c r="A3071" t="s">
        <v>5655</v>
      </c>
      <c r="B3071">
        <v>192688</v>
      </c>
    </row>
    <row r="3072" spans="1:2" x14ac:dyDescent="0.25">
      <c r="A3072" t="s">
        <v>5656</v>
      </c>
      <c r="B3072">
        <v>155487</v>
      </c>
    </row>
    <row r="3073" spans="1:2" x14ac:dyDescent="0.25">
      <c r="A3073" t="s">
        <v>5657</v>
      </c>
      <c r="B3073">
        <v>155496</v>
      </c>
    </row>
    <row r="3074" spans="1:2" x14ac:dyDescent="0.25">
      <c r="A3074" t="s">
        <v>5658</v>
      </c>
      <c r="B3074">
        <v>192703</v>
      </c>
    </row>
    <row r="3075" spans="1:2" x14ac:dyDescent="0.25">
      <c r="A3075" t="s">
        <v>5659</v>
      </c>
      <c r="B3075">
        <v>420981</v>
      </c>
    </row>
    <row r="3076" spans="1:2" x14ac:dyDescent="0.25">
      <c r="A3076" t="s">
        <v>5660</v>
      </c>
      <c r="B3076">
        <v>192712</v>
      </c>
    </row>
    <row r="3077" spans="1:2" x14ac:dyDescent="0.25">
      <c r="A3077" t="s">
        <v>5661</v>
      </c>
      <c r="B3077">
        <v>192749</v>
      </c>
    </row>
    <row r="3078" spans="1:2" x14ac:dyDescent="0.25">
      <c r="A3078" t="s">
        <v>5662</v>
      </c>
      <c r="B3078">
        <v>461528</v>
      </c>
    </row>
    <row r="3079" spans="1:2" x14ac:dyDescent="0.25">
      <c r="A3079" t="s">
        <v>5663</v>
      </c>
      <c r="B3079">
        <v>213774</v>
      </c>
    </row>
    <row r="3080" spans="1:2" x14ac:dyDescent="0.25">
      <c r="A3080" t="s">
        <v>5664</v>
      </c>
      <c r="B3080">
        <v>213783</v>
      </c>
    </row>
    <row r="3081" spans="1:2" x14ac:dyDescent="0.25">
      <c r="A3081" t="s">
        <v>5665</v>
      </c>
      <c r="B3081">
        <v>490674</v>
      </c>
    </row>
    <row r="3082" spans="1:2" x14ac:dyDescent="0.25">
      <c r="A3082" t="s">
        <v>5666</v>
      </c>
      <c r="B3082">
        <v>451547</v>
      </c>
    </row>
    <row r="3083" spans="1:2" x14ac:dyDescent="0.25">
      <c r="A3083" t="s">
        <v>5667</v>
      </c>
      <c r="B3083">
        <v>470296</v>
      </c>
    </row>
    <row r="3084" spans="1:2" x14ac:dyDescent="0.25">
      <c r="A3084" t="s">
        <v>5668</v>
      </c>
      <c r="B3084">
        <v>446394</v>
      </c>
    </row>
    <row r="3085" spans="1:2" x14ac:dyDescent="0.25">
      <c r="A3085" t="s">
        <v>5669</v>
      </c>
      <c r="B3085">
        <v>239071</v>
      </c>
    </row>
    <row r="3086" spans="1:2" x14ac:dyDescent="0.25">
      <c r="A3086" t="s">
        <v>5670</v>
      </c>
      <c r="B3086">
        <v>130837</v>
      </c>
    </row>
    <row r="3087" spans="1:2" x14ac:dyDescent="0.25">
      <c r="A3087" t="s">
        <v>5671</v>
      </c>
      <c r="B3087">
        <v>192785</v>
      </c>
    </row>
    <row r="3088" spans="1:2" x14ac:dyDescent="0.25">
      <c r="A3088" t="s">
        <v>5672</v>
      </c>
      <c r="B3088">
        <v>411684</v>
      </c>
    </row>
    <row r="3089" spans="1:2" x14ac:dyDescent="0.25">
      <c r="A3089" t="s">
        <v>5673</v>
      </c>
      <c r="B3089">
        <v>475282</v>
      </c>
    </row>
    <row r="3090" spans="1:2" x14ac:dyDescent="0.25">
      <c r="A3090" t="s">
        <v>5674</v>
      </c>
      <c r="B3090">
        <v>151786</v>
      </c>
    </row>
    <row r="3091" spans="1:2" x14ac:dyDescent="0.25">
      <c r="A3091" t="s">
        <v>5674</v>
      </c>
      <c r="B3091">
        <v>239080</v>
      </c>
    </row>
    <row r="3092" spans="1:2" x14ac:dyDescent="0.25">
      <c r="A3092" t="s">
        <v>5675</v>
      </c>
      <c r="B3092">
        <v>495183</v>
      </c>
    </row>
    <row r="3093" spans="1:2" x14ac:dyDescent="0.25">
      <c r="A3093" t="s">
        <v>5676</v>
      </c>
      <c r="B3093">
        <v>105136</v>
      </c>
    </row>
    <row r="3094" spans="1:2" x14ac:dyDescent="0.25">
      <c r="A3094" t="s">
        <v>5677</v>
      </c>
      <c r="B3094">
        <v>203845</v>
      </c>
    </row>
    <row r="3095" spans="1:2" x14ac:dyDescent="0.25">
      <c r="A3095" t="s">
        <v>5678</v>
      </c>
      <c r="B3095">
        <v>101648</v>
      </c>
    </row>
    <row r="3096" spans="1:2" x14ac:dyDescent="0.25">
      <c r="A3096" t="s">
        <v>5679</v>
      </c>
      <c r="B3096">
        <v>192800</v>
      </c>
    </row>
    <row r="3097" spans="1:2" x14ac:dyDescent="0.25">
      <c r="A3097" t="s">
        <v>5680</v>
      </c>
      <c r="B3097">
        <v>203881</v>
      </c>
    </row>
    <row r="3098" spans="1:2" x14ac:dyDescent="0.25">
      <c r="A3098" t="s">
        <v>5680</v>
      </c>
      <c r="B3098">
        <v>419226</v>
      </c>
    </row>
    <row r="3099" spans="1:2" x14ac:dyDescent="0.25">
      <c r="A3099" t="s">
        <v>5681</v>
      </c>
      <c r="B3099">
        <v>192819</v>
      </c>
    </row>
    <row r="3100" spans="1:2" x14ac:dyDescent="0.25">
      <c r="A3100" t="s">
        <v>5682</v>
      </c>
      <c r="B3100">
        <v>457642</v>
      </c>
    </row>
    <row r="3101" spans="1:2" x14ac:dyDescent="0.25">
      <c r="A3101" t="s">
        <v>5683</v>
      </c>
      <c r="B3101">
        <v>239105</v>
      </c>
    </row>
    <row r="3102" spans="1:2" x14ac:dyDescent="0.25">
      <c r="A3102" t="s">
        <v>5684</v>
      </c>
      <c r="B3102">
        <v>198899</v>
      </c>
    </row>
    <row r="3103" spans="1:2" x14ac:dyDescent="0.25">
      <c r="A3103" t="s">
        <v>5685</v>
      </c>
      <c r="B3103">
        <v>123943</v>
      </c>
    </row>
    <row r="3104" spans="1:2" x14ac:dyDescent="0.25">
      <c r="A3104" t="s">
        <v>5686</v>
      </c>
      <c r="B3104">
        <v>237525</v>
      </c>
    </row>
    <row r="3105" spans="1:2" x14ac:dyDescent="0.25">
      <c r="A3105" t="s">
        <v>5687</v>
      </c>
      <c r="B3105">
        <v>153922</v>
      </c>
    </row>
    <row r="3106" spans="1:2" x14ac:dyDescent="0.25">
      <c r="A3106" t="s">
        <v>5688</v>
      </c>
      <c r="B3106">
        <v>198905</v>
      </c>
    </row>
    <row r="3107" spans="1:2" x14ac:dyDescent="0.25">
      <c r="A3107" t="s">
        <v>5689</v>
      </c>
      <c r="B3107">
        <v>173452</v>
      </c>
    </row>
    <row r="3108" spans="1:2" x14ac:dyDescent="0.25">
      <c r="A3108" t="s">
        <v>5690</v>
      </c>
      <c r="B3108">
        <v>151810</v>
      </c>
    </row>
    <row r="3109" spans="1:2" x14ac:dyDescent="0.25">
      <c r="A3109" t="s">
        <v>5691</v>
      </c>
      <c r="B3109">
        <v>487977</v>
      </c>
    </row>
    <row r="3110" spans="1:2" x14ac:dyDescent="0.25">
      <c r="A3110" t="s">
        <v>5692</v>
      </c>
      <c r="B3110">
        <v>232672</v>
      </c>
    </row>
    <row r="3111" spans="1:2" x14ac:dyDescent="0.25">
      <c r="A3111" t="s">
        <v>5693</v>
      </c>
      <c r="B3111">
        <v>163815</v>
      </c>
    </row>
    <row r="3112" spans="1:2" x14ac:dyDescent="0.25">
      <c r="A3112" t="s">
        <v>5694</v>
      </c>
      <c r="B3112">
        <v>163295</v>
      </c>
    </row>
    <row r="3113" spans="1:2" x14ac:dyDescent="0.25">
      <c r="A3113" t="s">
        <v>5695</v>
      </c>
      <c r="B3113">
        <v>164085</v>
      </c>
    </row>
    <row r="3114" spans="1:2" x14ac:dyDescent="0.25">
      <c r="A3114" t="s">
        <v>5696</v>
      </c>
      <c r="B3114">
        <v>118541</v>
      </c>
    </row>
    <row r="3115" spans="1:2" x14ac:dyDescent="0.25">
      <c r="A3115" t="s">
        <v>5697</v>
      </c>
      <c r="B3115">
        <v>192864</v>
      </c>
    </row>
    <row r="3116" spans="1:2" x14ac:dyDescent="0.25">
      <c r="A3116" t="s">
        <v>5698</v>
      </c>
      <c r="B3116">
        <v>232706</v>
      </c>
    </row>
    <row r="3117" spans="1:2" x14ac:dyDescent="0.25">
      <c r="A3117" t="s">
        <v>5699</v>
      </c>
      <c r="B3117">
        <v>220710</v>
      </c>
    </row>
    <row r="3118" spans="1:2" x14ac:dyDescent="0.25">
      <c r="A3118" t="s">
        <v>5700</v>
      </c>
      <c r="B3118">
        <v>178059</v>
      </c>
    </row>
    <row r="3119" spans="1:2" x14ac:dyDescent="0.25">
      <c r="A3119" t="s">
        <v>5701</v>
      </c>
      <c r="B3119">
        <v>213826</v>
      </c>
    </row>
    <row r="3120" spans="1:2" x14ac:dyDescent="0.25">
      <c r="A3120" t="s">
        <v>5702</v>
      </c>
      <c r="B3120">
        <v>496061</v>
      </c>
    </row>
    <row r="3121" spans="1:2" x14ac:dyDescent="0.25">
      <c r="A3121" t="s">
        <v>5703</v>
      </c>
      <c r="B3121">
        <v>166647</v>
      </c>
    </row>
    <row r="3122" spans="1:2" x14ac:dyDescent="0.25">
      <c r="A3122" t="s">
        <v>5704</v>
      </c>
      <c r="B3122">
        <v>166674</v>
      </c>
    </row>
    <row r="3123" spans="1:2" x14ac:dyDescent="0.25">
      <c r="A3123" t="s">
        <v>5705</v>
      </c>
      <c r="B3123">
        <v>167288</v>
      </c>
    </row>
    <row r="3124" spans="1:2" x14ac:dyDescent="0.25">
      <c r="A3124" t="s">
        <v>5706</v>
      </c>
      <c r="B3124">
        <v>166683</v>
      </c>
    </row>
    <row r="3125" spans="1:2" x14ac:dyDescent="0.25">
      <c r="A3125" t="s">
        <v>5707</v>
      </c>
      <c r="B3125">
        <v>166692</v>
      </c>
    </row>
    <row r="3126" spans="1:2" x14ac:dyDescent="0.25">
      <c r="A3126" t="s">
        <v>5708</v>
      </c>
      <c r="B3126">
        <v>166805</v>
      </c>
    </row>
    <row r="3127" spans="1:2" x14ac:dyDescent="0.25">
      <c r="A3127" t="s">
        <v>5709</v>
      </c>
      <c r="B3127">
        <v>369002</v>
      </c>
    </row>
    <row r="3128" spans="1:2" x14ac:dyDescent="0.25">
      <c r="A3128" t="s">
        <v>5710</v>
      </c>
      <c r="B3128">
        <v>490470</v>
      </c>
    </row>
    <row r="3129" spans="1:2" x14ac:dyDescent="0.25">
      <c r="A3129" t="s">
        <v>5711</v>
      </c>
      <c r="B3129">
        <v>166823</v>
      </c>
    </row>
    <row r="3130" spans="1:2" x14ac:dyDescent="0.25">
      <c r="A3130" t="s">
        <v>5712</v>
      </c>
      <c r="B3130">
        <v>490267</v>
      </c>
    </row>
    <row r="3131" spans="1:2" x14ac:dyDescent="0.25">
      <c r="A3131" t="s">
        <v>5713</v>
      </c>
      <c r="B3131">
        <v>461333</v>
      </c>
    </row>
    <row r="3132" spans="1:2" x14ac:dyDescent="0.25">
      <c r="A3132" t="s">
        <v>5714</v>
      </c>
      <c r="B3132">
        <v>454698</v>
      </c>
    </row>
    <row r="3133" spans="1:2" x14ac:dyDescent="0.25">
      <c r="A3133" t="s">
        <v>5715</v>
      </c>
      <c r="B3133">
        <v>198914</v>
      </c>
    </row>
    <row r="3134" spans="1:2" x14ac:dyDescent="0.25">
      <c r="A3134" t="s">
        <v>5716</v>
      </c>
      <c r="B3134">
        <v>173957</v>
      </c>
    </row>
    <row r="3135" spans="1:2" x14ac:dyDescent="0.25">
      <c r="A3135" t="s">
        <v>5717</v>
      </c>
      <c r="B3135">
        <v>157331</v>
      </c>
    </row>
    <row r="3136" spans="1:2" x14ac:dyDescent="0.25">
      <c r="A3136" t="s">
        <v>5718</v>
      </c>
      <c r="B3136">
        <v>200226</v>
      </c>
    </row>
    <row r="3137" spans="1:2" x14ac:dyDescent="0.25">
      <c r="A3137" t="s">
        <v>5719</v>
      </c>
      <c r="B3137">
        <v>146977</v>
      </c>
    </row>
    <row r="3138" spans="1:2" x14ac:dyDescent="0.25">
      <c r="A3138" t="s">
        <v>5720</v>
      </c>
      <c r="B3138">
        <v>164270</v>
      </c>
    </row>
    <row r="3139" spans="1:2" x14ac:dyDescent="0.25">
      <c r="A3139" t="s">
        <v>5721</v>
      </c>
      <c r="B3139">
        <v>484039</v>
      </c>
    </row>
    <row r="3140" spans="1:2" x14ac:dyDescent="0.25">
      <c r="A3140" t="s">
        <v>5722</v>
      </c>
      <c r="B3140">
        <v>198923</v>
      </c>
    </row>
    <row r="3141" spans="1:2" x14ac:dyDescent="0.25">
      <c r="A3141" t="s">
        <v>5723</v>
      </c>
      <c r="B3141">
        <v>147004</v>
      </c>
    </row>
    <row r="3142" spans="1:2" x14ac:dyDescent="0.25">
      <c r="A3142" t="s">
        <v>5724</v>
      </c>
      <c r="B3142">
        <v>493549</v>
      </c>
    </row>
    <row r="3143" spans="1:2" x14ac:dyDescent="0.25">
      <c r="A3143" t="s">
        <v>5725</v>
      </c>
      <c r="B3143">
        <v>147013</v>
      </c>
    </row>
    <row r="3144" spans="1:2" x14ac:dyDescent="0.25">
      <c r="A3144" t="s">
        <v>5726</v>
      </c>
      <c r="B3144">
        <v>226578</v>
      </c>
    </row>
    <row r="3145" spans="1:2" x14ac:dyDescent="0.25">
      <c r="A3145" t="s">
        <v>5727</v>
      </c>
      <c r="B3145">
        <v>226587</v>
      </c>
    </row>
    <row r="3146" spans="1:2" x14ac:dyDescent="0.25">
      <c r="A3146" t="s">
        <v>5728</v>
      </c>
      <c r="B3146">
        <v>159717</v>
      </c>
    </row>
    <row r="3147" spans="1:2" x14ac:dyDescent="0.25">
      <c r="A3147" t="s">
        <v>5729</v>
      </c>
      <c r="B3147">
        <v>155511</v>
      </c>
    </row>
    <row r="3148" spans="1:2" x14ac:dyDescent="0.25">
      <c r="A3148" t="s">
        <v>5730</v>
      </c>
      <c r="B3148">
        <v>166656</v>
      </c>
    </row>
    <row r="3149" spans="1:2" x14ac:dyDescent="0.25">
      <c r="A3149" t="s">
        <v>5731</v>
      </c>
      <c r="B3149">
        <v>374592</v>
      </c>
    </row>
    <row r="3150" spans="1:2" x14ac:dyDescent="0.25">
      <c r="A3150" t="s">
        <v>5732</v>
      </c>
      <c r="B3150">
        <v>441414</v>
      </c>
    </row>
    <row r="3151" spans="1:2" x14ac:dyDescent="0.25">
      <c r="A3151" t="s">
        <v>5733</v>
      </c>
      <c r="B3151">
        <v>439455</v>
      </c>
    </row>
    <row r="3152" spans="1:2" x14ac:dyDescent="0.25">
      <c r="A3152" t="s">
        <v>5734</v>
      </c>
      <c r="B3152">
        <v>147031</v>
      </c>
    </row>
    <row r="3153" spans="1:2" x14ac:dyDescent="0.25">
      <c r="A3153" t="s">
        <v>5735</v>
      </c>
      <c r="B3153">
        <v>490328</v>
      </c>
    </row>
    <row r="3154" spans="1:2" x14ac:dyDescent="0.25">
      <c r="A3154" t="s">
        <v>5736</v>
      </c>
      <c r="B3154">
        <v>414461</v>
      </c>
    </row>
    <row r="3155" spans="1:2" x14ac:dyDescent="0.25">
      <c r="A3155" t="s">
        <v>5737</v>
      </c>
      <c r="B3155">
        <v>488059</v>
      </c>
    </row>
    <row r="3156" spans="1:2" x14ac:dyDescent="0.25">
      <c r="A3156" t="s">
        <v>5738</v>
      </c>
      <c r="B3156">
        <v>192925</v>
      </c>
    </row>
    <row r="3157" spans="1:2" x14ac:dyDescent="0.25">
      <c r="A3157" t="s">
        <v>5739</v>
      </c>
      <c r="B3157">
        <v>455336</v>
      </c>
    </row>
    <row r="3158" spans="1:2" x14ac:dyDescent="0.25">
      <c r="A3158" t="s">
        <v>5740</v>
      </c>
      <c r="B3158">
        <v>456153</v>
      </c>
    </row>
    <row r="3159" spans="1:2" x14ac:dyDescent="0.25">
      <c r="A3159" t="s">
        <v>5741</v>
      </c>
      <c r="B3159">
        <v>476595</v>
      </c>
    </row>
    <row r="3160" spans="1:2" x14ac:dyDescent="0.25">
      <c r="A3160" t="s">
        <v>5742</v>
      </c>
      <c r="B3160">
        <v>488217</v>
      </c>
    </row>
    <row r="3161" spans="1:2" x14ac:dyDescent="0.25">
      <c r="A3161" t="s">
        <v>5743</v>
      </c>
      <c r="B3161">
        <v>493479</v>
      </c>
    </row>
    <row r="3162" spans="1:2" x14ac:dyDescent="0.25">
      <c r="A3162" t="s">
        <v>5744</v>
      </c>
      <c r="B3162">
        <v>479965</v>
      </c>
    </row>
    <row r="3163" spans="1:2" x14ac:dyDescent="0.25">
      <c r="A3163" t="s">
        <v>5745</v>
      </c>
      <c r="B3163">
        <v>239169</v>
      </c>
    </row>
    <row r="3164" spans="1:2" x14ac:dyDescent="0.25">
      <c r="A3164" t="s">
        <v>5746</v>
      </c>
      <c r="B3164">
        <v>455831</v>
      </c>
    </row>
    <row r="3165" spans="1:2" x14ac:dyDescent="0.25">
      <c r="A3165" t="s">
        <v>5747</v>
      </c>
      <c r="B3165">
        <v>436650</v>
      </c>
    </row>
    <row r="3166" spans="1:2" x14ac:dyDescent="0.25">
      <c r="A3166" t="s">
        <v>5748</v>
      </c>
      <c r="B3166">
        <v>218335</v>
      </c>
    </row>
    <row r="3167" spans="1:2" x14ac:dyDescent="0.25">
      <c r="A3167" t="s">
        <v>5749</v>
      </c>
      <c r="B3167">
        <v>203942</v>
      </c>
    </row>
    <row r="3168" spans="1:2" x14ac:dyDescent="0.25">
      <c r="A3168" t="s">
        <v>5750</v>
      </c>
      <c r="B3168">
        <v>484066</v>
      </c>
    </row>
    <row r="3169" spans="1:2" x14ac:dyDescent="0.25">
      <c r="A3169" t="s">
        <v>5751</v>
      </c>
      <c r="B3169">
        <v>476993</v>
      </c>
    </row>
    <row r="3170" spans="1:2" x14ac:dyDescent="0.25">
      <c r="A3170" t="s">
        <v>5752</v>
      </c>
      <c r="B3170">
        <v>497310</v>
      </c>
    </row>
    <row r="3171" spans="1:2" x14ac:dyDescent="0.25">
      <c r="A3171" t="s">
        <v>5753</v>
      </c>
      <c r="B3171">
        <v>220792</v>
      </c>
    </row>
    <row r="3172" spans="1:2" x14ac:dyDescent="0.25">
      <c r="A3172" t="s">
        <v>5754</v>
      </c>
      <c r="B3172">
        <v>497204</v>
      </c>
    </row>
    <row r="3173" spans="1:2" x14ac:dyDescent="0.25">
      <c r="A3173" t="s">
        <v>5755</v>
      </c>
      <c r="B3173">
        <v>192970</v>
      </c>
    </row>
    <row r="3174" spans="1:2" x14ac:dyDescent="0.25">
      <c r="A3174" t="s">
        <v>5756</v>
      </c>
      <c r="B3174">
        <v>220871</v>
      </c>
    </row>
    <row r="3175" spans="1:2" x14ac:dyDescent="0.25">
      <c r="A3175" t="s">
        <v>5757</v>
      </c>
      <c r="B3175">
        <v>118684</v>
      </c>
    </row>
    <row r="3176" spans="1:2" x14ac:dyDescent="0.25">
      <c r="A3176" t="s">
        <v>5758</v>
      </c>
      <c r="B3176">
        <v>118693</v>
      </c>
    </row>
    <row r="3177" spans="1:2" x14ac:dyDescent="0.25">
      <c r="A3177" t="s">
        <v>5759</v>
      </c>
      <c r="B3177">
        <v>118718</v>
      </c>
    </row>
    <row r="3178" spans="1:2" x14ac:dyDescent="0.25">
      <c r="A3178" t="s">
        <v>5760</v>
      </c>
      <c r="B3178">
        <v>366632</v>
      </c>
    </row>
    <row r="3179" spans="1:2" x14ac:dyDescent="0.25">
      <c r="A3179" t="s">
        <v>5761</v>
      </c>
      <c r="B3179">
        <v>185509</v>
      </c>
    </row>
    <row r="3180" spans="1:2" x14ac:dyDescent="0.25">
      <c r="A3180" t="s">
        <v>5762</v>
      </c>
      <c r="B3180">
        <v>237543</v>
      </c>
    </row>
    <row r="3181" spans="1:2" x14ac:dyDescent="0.25">
      <c r="A3181" t="s">
        <v>5763</v>
      </c>
      <c r="B3181">
        <v>140447</v>
      </c>
    </row>
    <row r="3182" spans="1:2" x14ac:dyDescent="0.25">
      <c r="A3182" t="s">
        <v>5764</v>
      </c>
      <c r="B3182">
        <v>193016</v>
      </c>
    </row>
    <row r="3183" spans="1:2" x14ac:dyDescent="0.25">
      <c r="A3183" t="s">
        <v>5765</v>
      </c>
      <c r="B3183">
        <v>153977</v>
      </c>
    </row>
    <row r="3184" spans="1:2" x14ac:dyDescent="0.25">
      <c r="A3184" t="s">
        <v>5766</v>
      </c>
      <c r="B3184">
        <v>203960</v>
      </c>
    </row>
    <row r="3185" spans="1:2" x14ac:dyDescent="0.25">
      <c r="A3185" t="s">
        <v>5767</v>
      </c>
      <c r="B3185">
        <v>419217</v>
      </c>
    </row>
    <row r="3186" spans="1:2" x14ac:dyDescent="0.25">
      <c r="A3186" t="s">
        <v>5768</v>
      </c>
      <c r="B3186">
        <v>213987</v>
      </c>
    </row>
    <row r="3187" spans="1:2" x14ac:dyDescent="0.25">
      <c r="A3187" t="s">
        <v>5769</v>
      </c>
      <c r="B3187">
        <v>480189</v>
      </c>
    </row>
    <row r="3188" spans="1:2" x14ac:dyDescent="0.25">
      <c r="A3188" t="s">
        <v>5770</v>
      </c>
      <c r="B3188">
        <v>366571</v>
      </c>
    </row>
    <row r="3189" spans="1:2" x14ac:dyDescent="0.25">
      <c r="A3189" t="s">
        <v>5771</v>
      </c>
      <c r="B3189">
        <v>198950</v>
      </c>
    </row>
    <row r="3190" spans="1:2" x14ac:dyDescent="0.25">
      <c r="A3190" t="s">
        <v>5772</v>
      </c>
      <c r="B3190">
        <v>237552</v>
      </c>
    </row>
    <row r="3191" spans="1:2" x14ac:dyDescent="0.25">
      <c r="A3191" t="s">
        <v>5773</v>
      </c>
      <c r="B3191">
        <v>244279</v>
      </c>
    </row>
    <row r="3192" spans="1:2" x14ac:dyDescent="0.25">
      <c r="A3192" t="s">
        <v>5774</v>
      </c>
      <c r="B3192">
        <v>175935</v>
      </c>
    </row>
    <row r="3193" spans="1:2" x14ac:dyDescent="0.25">
      <c r="A3193" t="s">
        <v>5775</v>
      </c>
      <c r="B3193">
        <v>461324</v>
      </c>
    </row>
    <row r="3194" spans="1:2" x14ac:dyDescent="0.25">
      <c r="A3194" t="s">
        <v>5776</v>
      </c>
      <c r="B3194">
        <v>365480</v>
      </c>
    </row>
    <row r="3195" spans="1:2" x14ac:dyDescent="0.25">
      <c r="A3195" t="s">
        <v>5777</v>
      </c>
      <c r="B3195">
        <v>491808</v>
      </c>
    </row>
    <row r="3196" spans="1:2" x14ac:dyDescent="0.25">
      <c r="A3196" t="s">
        <v>5778</v>
      </c>
      <c r="B3196">
        <v>427308</v>
      </c>
    </row>
    <row r="3197" spans="1:2" x14ac:dyDescent="0.25">
      <c r="A3197" t="s">
        <v>5779</v>
      </c>
      <c r="B3197">
        <v>166850</v>
      </c>
    </row>
    <row r="3198" spans="1:2" x14ac:dyDescent="0.25">
      <c r="A3198" t="s">
        <v>5780</v>
      </c>
      <c r="B3198">
        <v>118772</v>
      </c>
    </row>
    <row r="3199" spans="1:2" x14ac:dyDescent="0.25">
      <c r="A3199" t="s">
        <v>5781</v>
      </c>
      <c r="B3199">
        <v>135559</v>
      </c>
    </row>
    <row r="3200" spans="1:2" x14ac:dyDescent="0.25">
      <c r="A3200" t="s">
        <v>5782</v>
      </c>
      <c r="B3200">
        <v>494995</v>
      </c>
    </row>
    <row r="3201" spans="1:2" x14ac:dyDescent="0.25">
      <c r="A3201" t="s">
        <v>5783</v>
      </c>
      <c r="B3201">
        <v>105154</v>
      </c>
    </row>
    <row r="3202" spans="1:2" x14ac:dyDescent="0.25">
      <c r="A3202" t="s">
        <v>5784</v>
      </c>
      <c r="B3202">
        <v>173993</v>
      </c>
    </row>
    <row r="3203" spans="1:2" x14ac:dyDescent="0.25">
      <c r="A3203" t="s">
        <v>5785</v>
      </c>
      <c r="B3203">
        <v>188261</v>
      </c>
    </row>
    <row r="3204" spans="1:2" x14ac:dyDescent="0.25">
      <c r="A3204" t="s">
        <v>5786</v>
      </c>
      <c r="B3204">
        <v>193061</v>
      </c>
    </row>
    <row r="3205" spans="1:2" x14ac:dyDescent="0.25">
      <c r="A3205" t="s">
        <v>5787</v>
      </c>
      <c r="B3205">
        <v>193052</v>
      </c>
    </row>
    <row r="3206" spans="1:2" x14ac:dyDescent="0.25">
      <c r="A3206" t="s">
        <v>5788</v>
      </c>
      <c r="B3206">
        <v>193070</v>
      </c>
    </row>
    <row r="3207" spans="1:2" x14ac:dyDescent="0.25">
      <c r="A3207" t="s">
        <v>5789</v>
      </c>
      <c r="B3207">
        <v>417752</v>
      </c>
    </row>
    <row r="3208" spans="1:2" x14ac:dyDescent="0.25">
      <c r="A3208" t="s">
        <v>5790</v>
      </c>
      <c r="B3208">
        <v>213996</v>
      </c>
    </row>
    <row r="3209" spans="1:2" x14ac:dyDescent="0.25">
      <c r="A3209" t="s">
        <v>5791</v>
      </c>
      <c r="B3209">
        <v>147129</v>
      </c>
    </row>
    <row r="3210" spans="1:2" x14ac:dyDescent="0.25">
      <c r="A3210" t="s">
        <v>5792</v>
      </c>
      <c r="B3210">
        <v>203997</v>
      </c>
    </row>
    <row r="3211" spans="1:2" x14ac:dyDescent="0.25">
      <c r="A3211" t="s">
        <v>5793</v>
      </c>
      <c r="B3211">
        <v>198969</v>
      </c>
    </row>
    <row r="3212" spans="1:2" x14ac:dyDescent="0.25">
      <c r="A3212" t="s">
        <v>5794</v>
      </c>
      <c r="B3212">
        <v>457952</v>
      </c>
    </row>
    <row r="3213" spans="1:2" x14ac:dyDescent="0.25">
      <c r="A3213" t="s">
        <v>5795</v>
      </c>
      <c r="B3213">
        <v>490489</v>
      </c>
    </row>
    <row r="3214" spans="1:2" x14ac:dyDescent="0.25">
      <c r="A3214" t="s">
        <v>5796</v>
      </c>
      <c r="B3214">
        <v>363165</v>
      </c>
    </row>
    <row r="3215" spans="1:2" x14ac:dyDescent="0.25">
      <c r="A3215" t="s">
        <v>5797</v>
      </c>
      <c r="B3215">
        <v>190114</v>
      </c>
    </row>
    <row r="3216" spans="1:2" x14ac:dyDescent="0.25">
      <c r="A3216" t="s">
        <v>5798</v>
      </c>
      <c r="B3216">
        <v>181303</v>
      </c>
    </row>
    <row r="3217" spans="1:2" x14ac:dyDescent="0.25">
      <c r="A3217" t="s">
        <v>5799</v>
      </c>
      <c r="B3217">
        <v>177995</v>
      </c>
    </row>
    <row r="3218" spans="1:2" x14ac:dyDescent="0.25">
      <c r="A3218" t="s">
        <v>5800</v>
      </c>
      <c r="B3218">
        <v>441575</v>
      </c>
    </row>
    <row r="3219" spans="1:2" x14ac:dyDescent="0.25">
      <c r="A3219" t="s">
        <v>5801</v>
      </c>
      <c r="B3219">
        <v>174020</v>
      </c>
    </row>
    <row r="3220" spans="1:2" x14ac:dyDescent="0.25">
      <c r="A3220" t="s">
        <v>5802</v>
      </c>
      <c r="B3220">
        <v>127565</v>
      </c>
    </row>
    <row r="3221" spans="1:2" x14ac:dyDescent="0.25">
      <c r="A3221" t="s">
        <v>5803</v>
      </c>
      <c r="B3221">
        <v>166869</v>
      </c>
    </row>
    <row r="3222" spans="1:2" x14ac:dyDescent="0.25">
      <c r="A3222" t="s">
        <v>5804</v>
      </c>
      <c r="B3222">
        <v>428000</v>
      </c>
    </row>
    <row r="3223" spans="1:2" x14ac:dyDescent="0.25">
      <c r="A3223" t="s">
        <v>5805</v>
      </c>
      <c r="B3223">
        <v>140827</v>
      </c>
    </row>
    <row r="3224" spans="1:2" x14ac:dyDescent="0.25">
      <c r="A3224" t="s">
        <v>5806</v>
      </c>
      <c r="B3224">
        <v>476355</v>
      </c>
    </row>
    <row r="3225" spans="1:2" x14ac:dyDescent="0.25">
      <c r="A3225" t="s">
        <v>5807</v>
      </c>
      <c r="B3225">
        <v>440819</v>
      </c>
    </row>
    <row r="3226" spans="1:2" x14ac:dyDescent="0.25">
      <c r="A3226" t="s">
        <v>5808</v>
      </c>
      <c r="B3226">
        <v>135717</v>
      </c>
    </row>
    <row r="3227" spans="1:2" x14ac:dyDescent="0.25">
      <c r="A3227" t="s">
        <v>5809</v>
      </c>
      <c r="B3227">
        <v>224776</v>
      </c>
    </row>
    <row r="3228" spans="1:2" x14ac:dyDescent="0.25">
      <c r="A3228" t="s">
        <v>5810</v>
      </c>
      <c r="B3228">
        <v>135647</v>
      </c>
    </row>
    <row r="3229" spans="1:2" x14ac:dyDescent="0.25">
      <c r="A3229" t="s">
        <v>5811</v>
      </c>
      <c r="B3229">
        <v>480851</v>
      </c>
    </row>
    <row r="3230" spans="1:2" x14ac:dyDescent="0.25">
      <c r="A3230" t="s">
        <v>5812</v>
      </c>
      <c r="B3230">
        <v>451103</v>
      </c>
    </row>
    <row r="3231" spans="1:2" x14ac:dyDescent="0.25">
      <c r="A3231" t="s">
        <v>5813</v>
      </c>
      <c r="B3231">
        <v>204006</v>
      </c>
    </row>
    <row r="3232" spans="1:2" x14ac:dyDescent="0.25">
      <c r="A3232" t="s">
        <v>5814</v>
      </c>
      <c r="B3232">
        <v>204015</v>
      </c>
    </row>
    <row r="3233" spans="1:2" x14ac:dyDescent="0.25">
      <c r="A3233" t="s">
        <v>5815</v>
      </c>
      <c r="B3233">
        <v>204024</v>
      </c>
    </row>
    <row r="3234" spans="1:2" x14ac:dyDescent="0.25">
      <c r="A3234" t="s">
        <v>5816</v>
      </c>
      <c r="B3234">
        <v>204158</v>
      </c>
    </row>
    <row r="3235" spans="1:2" x14ac:dyDescent="0.25">
      <c r="A3235" t="s">
        <v>5817</v>
      </c>
      <c r="B3235">
        <v>169655</v>
      </c>
    </row>
    <row r="3236" spans="1:2" x14ac:dyDescent="0.25">
      <c r="A3236" t="s">
        <v>5818</v>
      </c>
      <c r="B3236">
        <v>494728</v>
      </c>
    </row>
    <row r="3237" spans="1:2" x14ac:dyDescent="0.25">
      <c r="A3237" t="s">
        <v>5819</v>
      </c>
      <c r="B3237">
        <v>182953</v>
      </c>
    </row>
    <row r="3238" spans="1:2" x14ac:dyDescent="0.25">
      <c r="A3238" t="s">
        <v>5820</v>
      </c>
      <c r="B3238">
        <v>172422</v>
      </c>
    </row>
    <row r="3239" spans="1:2" x14ac:dyDescent="0.25">
      <c r="A3239" t="s">
        <v>5821</v>
      </c>
      <c r="B3239">
        <v>170611</v>
      </c>
    </row>
    <row r="3240" spans="1:2" x14ac:dyDescent="0.25">
      <c r="A3240" t="s">
        <v>5822</v>
      </c>
      <c r="B3240">
        <v>381370</v>
      </c>
    </row>
    <row r="3241" spans="1:2" x14ac:dyDescent="0.25">
      <c r="A3241" t="s">
        <v>5823</v>
      </c>
      <c r="B3241">
        <v>169220</v>
      </c>
    </row>
    <row r="3242" spans="1:2" x14ac:dyDescent="0.25">
      <c r="A3242" t="s">
        <v>5824</v>
      </c>
      <c r="B3242">
        <v>171100</v>
      </c>
    </row>
    <row r="3243" spans="1:2" x14ac:dyDescent="0.25">
      <c r="A3243" t="s">
        <v>5825</v>
      </c>
      <c r="B3243">
        <v>171128</v>
      </c>
    </row>
    <row r="3244" spans="1:2" x14ac:dyDescent="0.25">
      <c r="A3244" t="s">
        <v>5826</v>
      </c>
      <c r="B3244">
        <v>423412</v>
      </c>
    </row>
    <row r="3245" spans="1:2" x14ac:dyDescent="0.25">
      <c r="A3245" t="s">
        <v>5827</v>
      </c>
      <c r="B3245">
        <v>171155</v>
      </c>
    </row>
    <row r="3246" spans="1:2" x14ac:dyDescent="0.25">
      <c r="A3246" t="s">
        <v>5828</v>
      </c>
      <c r="B3246">
        <v>245953</v>
      </c>
    </row>
    <row r="3247" spans="1:2" x14ac:dyDescent="0.25">
      <c r="A3247" t="s">
        <v>5829</v>
      </c>
      <c r="B3247">
        <v>151962</v>
      </c>
    </row>
    <row r="3248" spans="1:2" x14ac:dyDescent="0.25">
      <c r="A3248" t="s">
        <v>5830</v>
      </c>
      <c r="B3248">
        <v>155520</v>
      </c>
    </row>
    <row r="3249" spans="1:2" x14ac:dyDescent="0.25">
      <c r="A3249" t="s">
        <v>5831</v>
      </c>
      <c r="B3249">
        <v>418320</v>
      </c>
    </row>
    <row r="3250" spans="1:2" x14ac:dyDescent="0.25">
      <c r="A3250" t="s">
        <v>5832</v>
      </c>
      <c r="B3250">
        <v>199458</v>
      </c>
    </row>
    <row r="3251" spans="1:2" x14ac:dyDescent="0.25">
      <c r="A3251" t="s">
        <v>5833</v>
      </c>
      <c r="B3251">
        <v>431017</v>
      </c>
    </row>
    <row r="3252" spans="1:2" x14ac:dyDescent="0.25">
      <c r="A3252" t="s">
        <v>5834</v>
      </c>
      <c r="B3252">
        <v>482158</v>
      </c>
    </row>
    <row r="3253" spans="1:2" x14ac:dyDescent="0.25">
      <c r="A3253" t="s">
        <v>5835</v>
      </c>
      <c r="B3253">
        <v>220996</v>
      </c>
    </row>
    <row r="3254" spans="1:2" x14ac:dyDescent="0.25">
      <c r="A3254" t="s">
        <v>5836</v>
      </c>
      <c r="B3254">
        <v>220978</v>
      </c>
    </row>
    <row r="3255" spans="1:2" x14ac:dyDescent="0.25">
      <c r="A3255" t="s">
        <v>5837</v>
      </c>
      <c r="B3255">
        <v>230959</v>
      </c>
    </row>
    <row r="3256" spans="1:2" x14ac:dyDescent="0.25">
      <c r="A3256" t="s">
        <v>5838</v>
      </c>
      <c r="B3256">
        <v>119058</v>
      </c>
    </row>
    <row r="3257" spans="1:2" x14ac:dyDescent="0.25">
      <c r="A3257" t="s">
        <v>5839</v>
      </c>
      <c r="B3257">
        <v>185536</v>
      </c>
    </row>
    <row r="3258" spans="1:2" x14ac:dyDescent="0.25">
      <c r="A3258" t="s">
        <v>5840</v>
      </c>
      <c r="B3258">
        <v>129756</v>
      </c>
    </row>
    <row r="3259" spans="1:2" x14ac:dyDescent="0.25">
      <c r="A3259" t="s">
        <v>5840</v>
      </c>
      <c r="B3259">
        <v>166887</v>
      </c>
    </row>
    <row r="3260" spans="1:2" x14ac:dyDescent="0.25">
      <c r="A3260" t="s">
        <v>5841</v>
      </c>
      <c r="B3260">
        <v>389860</v>
      </c>
    </row>
    <row r="3261" spans="1:2" x14ac:dyDescent="0.25">
      <c r="A3261" t="s">
        <v>5842</v>
      </c>
      <c r="B3261">
        <v>487816</v>
      </c>
    </row>
    <row r="3262" spans="1:2" x14ac:dyDescent="0.25">
      <c r="A3262" t="s">
        <v>5843</v>
      </c>
      <c r="B3262">
        <v>226806</v>
      </c>
    </row>
    <row r="3263" spans="1:2" x14ac:dyDescent="0.25">
      <c r="A3263" t="s">
        <v>5844</v>
      </c>
      <c r="B3263">
        <v>181330</v>
      </c>
    </row>
    <row r="3264" spans="1:2" x14ac:dyDescent="0.25">
      <c r="A3264" t="s">
        <v>5845</v>
      </c>
      <c r="B3264">
        <v>218353</v>
      </c>
    </row>
    <row r="3265" spans="1:2" x14ac:dyDescent="0.25">
      <c r="A3265" t="s">
        <v>5846</v>
      </c>
      <c r="B3265">
        <v>181312</v>
      </c>
    </row>
    <row r="3266" spans="1:2" x14ac:dyDescent="0.25">
      <c r="A3266" t="s">
        <v>5847</v>
      </c>
      <c r="B3266">
        <v>481225</v>
      </c>
    </row>
    <row r="3267" spans="1:2" x14ac:dyDescent="0.25">
      <c r="A3267" t="s">
        <v>5848</v>
      </c>
      <c r="B3267">
        <v>239220</v>
      </c>
    </row>
    <row r="3268" spans="1:2" x14ac:dyDescent="0.25">
      <c r="A3268" t="s">
        <v>5849</v>
      </c>
      <c r="B3268">
        <v>193186</v>
      </c>
    </row>
    <row r="3269" spans="1:2" x14ac:dyDescent="0.25">
      <c r="A3269" t="s">
        <v>5850</v>
      </c>
      <c r="B3269">
        <v>157377</v>
      </c>
    </row>
    <row r="3270" spans="1:2" x14ac:dyDescent="0.25">
      <c r="A3270" t="s">
        <v>5851</v>
      </c>
      <c r="B3270">
        <v>493831</v>
      </c>
    </row>
    <row r="3271" spans="1:2" x14ac:dyDescent="0.25">
      <c r="A3271" t="s">
        <v>5852</v>
      </c>
      <c r="B3271">
        <v>383020</v>
      </c>
    </row>
    <row r="3272" spans="1:2" x14ac:dyDescent="0.25">
      <c r="A3272" t="s">
        <v>5853</v>
      </c>
      <c r="B3272">
        <v>439020</v>
      </c>
    </row>
    <row r="3273" spans="1:2" x14ac:dyDescent="0.25">
      <c r="A3273" t="s">
        <v>5854</v>
      </c>
      <c r="B3273">
        <v>178183</v>
      </c>
    </row>
    <row r="3274" spans="1:2" x14ac:dyDescent="0.25">
      <c r="A3274" t="s">
        <v>5855</v>
      </c>
      <c r="B3274">
        <v>458265</v>
      </c>
    </row>
    <row r="3275" spans="1:2" x14ac:dyDescent="0.25">
      <c r="A3275" t="s">
        <v>5856</v>
      </c>
      <c r="B3275">
        <v>437556</v>
      </c>
    </row>
    <row r="3276" spans="1:2" x14ac:dyDescent="0.25">
      <c r="A3276" t="s">
        <v>5857</v>
      </c>
      <c r="B3276">
        <v>482097</v>
      </c>
    </row>
    <row r="3277" spans="1:2" x14ac:dyDescent="0.25">
      <c r="A3277" t="s">
        <v>5858</v>
      </c>
      <c r="B3277">
        <v>469638</v>
      </c>
    </row>
    <row r="3278" spans="1:2" x14ac:dyDescent="0.25">
      <c r="A3278" t="s">
        <v>5859</v>
      </c>
      <c r="B3278">
        <v>475459</v>
      </c>
    </row>
    <row r="3279" spans="1:2" x14ac:dyDescent="0.25">
      <c r="A3279" t="s">
        <v>5860</v>
      </c>
      <c r="B3279">
        <v>178208</v>
      </c>
    </row>
    <row r="3280" spans="1:2" x14ac:dyDescent="0.25">
      <c r="A3280" t="s">
        <v>5861</v>
      </c>
      <c r="B3280">
        <v>457536</v>
      </c>
    </row>
    <row r="3281" spans="1:2" x14ac:dyDescent="0.25">
      <c r="A3281" t="s">
        <v>5862</v>
      </c>
      <c r="B3281">
        <v>226833</v>
      </c>
    </row>
    <row r="3282" spans="1:2" x14ac:dyDescent="0.25">
      <c r="A3282" t="s">
        <v>5863</v>
      </c>
      <c r="B3282">
        <v>143853</v>
      </c>
    </row>
    <row r="3283" spans="1:2" x14ac:dyDescent="0.25">
      <c r="A3283" t="s">
        <v>5864</v>
      </c>
      <c r="B3283">
        <v>423643</v>
      </c>
    </row>
    <row r="3284" spans="1:2" x14ac:dyDescent="0.25">
      <c r="A3284" t="s">
        <v>5865</v>
      </c>
      <c r="B3284">
        <v>480985</v>
      </c>
    </row>
    <row r="3285" spans="1:2" x14ac:dyDescent="0.25">
      <c r="A3285" t="s">
        <v>5866</v>
      </c>
      <c r="B3285">
        <v>418481</v>
      </c>
    </row>
    <row r="3286" spans="1:2" x14ac:dyDescent="0.25">
      <c r="A3286" t="s">
        <v>5867</v>
      </c>
      <c r="B3286">
        <v>460534</v>
      </c>
    </row>
    <row r="3287" spans="1:2" x14ac:dyDescent="0.25">
      <c r="A3287" t="s">
        <v>5868</v>
      </c>
      <c r="B3287">
        <v>460516</v>
      </c>
    </row>
    <row r="3288" spans="1:2" x14ac:dyDescent="0.25">
      <c r="A3288" t="s">
        <v>5869</v>
      </c>
      <c r="B3288">
        <v>454555</v>
      </c>
    </row>
    <row r="3289" spans="1:2" x14ac:dyDescent="0.25">
      <c r="A3289" t="s">
        <v>5870</v>
      </c>
      <c r="B3289">
        <v>449904</v>
      </c>
    </row>
    <row r="3290" spans="1:2" x14ac:dyDescent="0.25">
      <c r="A3290" t="s">
        <v>5871</v>
      </c>
      <c r="B3290">
        <v>454546</v>
      </c>
    </row>
    <row r="3291" spans="1:2" x14ac:dyDescent="0.25">
      <c r="A3291" t="s">
        <v>5872</v>
      </c>
      <c r="B3291">
        <v>440855</v>
      </c>
    </row>
    <row r="3292" spans="1:2" x14ac:dyDescent="0.25">
      <c r="A3292" t="s">
        <v>5873</v>
      </c>
      <c r="B3292">
        <v>457077</v>
      </c>
    </row>
    <row r="3293" spans="1:2" x14ac:dyDescent="0.25">
      <c r="A3293" t="s">
        <v>5874</v>
      </c>
      <c r="B3293">
        <v>489760</v>
      </c>
    </row>
    <row r="3294" spans="1:2" x14ac:dyDescent="0.25">
      <c r="A3294" t="s">
        <v>5875</v>
      </c>
      <c r="B3294">
        <v>460525</v>
      </c>
    </row>
    <row r="3295" spans="1:2" x14ac:dyDescent="0.25">
      <c r="A3295" t="s">
        <v>5876</v>
      </c>
      <c r="B3295">
        <v>448895</v>
      </c>
    </row>
    <row r="3296" spans="1:2" x14ac:dyDescent="0.25">
      <c r="A3296" t="s">
        <v>5877</v>
      </c>
      <c r="B3296">
        <v>475325</v>
      </c>
    </row>
    <row r="3297" spans="1:2" x14ac:dyDescent="0.25">
      <c r="A3297" t="s">
        <v>5878</v>
      </c>
      <c r="B3297">
        <v>482060</v>
      </c>
    </row>
    <row r="3298" spans="1:2" x14ac:dyDescent="0.25">
      <c r="A3298" t="s">
        <v>5879</v>
      </c>
      <c r="B3298">
        <v>442657</v>
      </c>
    </row>
    <row r="3299" spans="1:2" x14ac:dyDescent="0.25">
      <c r="A3299" t="s">
        <v>5880</v>
      </c>
      <c r="B3299">
        <v>437778</v>
      </c>
    </row>
    <row r="3300" spans="1:2" x14ac:dyDescent="0.25">
      <c r="A3300" t="s">
        <v>5881</v>
      </c>
      <c r="B3300">
        <v>443669</v>
      </c>
    </row>
    <row r="3301" spans="1:2" x14ac:dyDescent="0.25">
      <c r="A3301" t="s">
        <v>5882</v>
      </c>
      <c r="B3301">
        <v>112288</v>
      </c>
    </row>
    <row r="3302" spans="1:2" x14ac:dyDescent="0.25">
      <c r="A3302" t="s">
        <v>5883</v>
      </c>
      <c r="B3302">
        <v>193201</v>
      </c>
    </row>
    <row r="3303" spans="1:2" x14ac:dyDescent="0.25">
      <c r="A3303" t="s">
        <v>5884</v>
      </c>
      <c r="B3303">
        <v>461014</v>
      </c>
    </row>
    <row r="3304" spans="1:2" x14ac:dyDescent="0.25">
      <c r="A3304" t="s">
        <v>5885</v>
      </c>
      <c r="B3304">
        <v>425986</v>
      </c>
    </row>
    <row r="3305" spans="1:2" x14ac:dyDescent="0.25">
      <c r="A3305" t="s">
        <v>5886</v>
      </c>
      <c r="B3305">
        <v>101675</v>
      </c>
    </row>
    <row r="3306" spans="1:2" x14ac:dyDescent="0.25">
      <c r="A3306" t="s">
        <v>5887</v>
      </c>
      <c r="B3306">
        <v>180373</v>
      </c>
    </row>
    <row r="3307" spans="1:2" x14ac:dyDescent="0.25">
      <c r="A3307" t="s">
        <v>5888</v>
      </c>
      <c r="B3307">
        <v>461883</v>
      </c>
    </row>
    <row r="3308" spans="1:2" x14ac:dyDescent="0.25">
      <c r="A3308" t="s">
        <v>5889</v>
      </c>
      <c r="B3308">
        <v>451264</v>
      </c>
    </row>
    <row r="3309" spans="1:2" x14ac:dyDescent="0.25">
      <c r="A3309" t="s">
        <v>5890</v>
      </c>
      <c r="B3309">
        <v>447379</v>
      </c>
    </row>
    <row r="3310" spans="1:2" x14ac:dyDescent="0.25">
      <c r="A3310" t="s">
        <v>5891</v>
      </c>
      <c r="B3310">
        <v>445258</v>
      </c>
    </row>
    <row r="3311" spans="1:2" x14ac:dyDescent="0.25">
      <c r="A3311" t="s">
        <v>5892</v>
      </c>
      <c r="B3311">
        <v>103963</v>
      </c>
    </row>
    <row r="3312" spans="1:2" x14ac:dyDescent="0.25">
      <c r="A3312" t="s">
        <v>5893</v>
      </c>
      <c r="B3312">
        <v>460826</v>
      </c>
    </row>
    <row r="3313" spans="1:2" x14ac:dyDescent="0.25">
      <c r="A3313" t="s">
        <v>5894</v>
      </c>
      <c r="B3313">
        <v>213534</v>
      </c>
    </row>
    <row r="3314" spans="1:2" x14ac:dyDescent="0.25">
      <c r="A3314" t="s">
        <v>5895</v>
      </c>
      <c r="B3314">
        <v>441025</v>
      </c>
    </row>
    <row r="3315" spans="1:2" x14ac:dyDescent="0.25">
      <c r="A3315" t="s">
        <v>5896</v>
      </c>
      <c r="B3315">
        <v>443650</v>
      </c>
    </row>
    <row r="3316" spans="1:2" x14ac:dyDescent="0.25">
      <c r="A3316" t="s">
        <v>5897</v>
      </c>
      <c r="B3316">
        <v>496292</v>
      </c>
    </row>
    <row r="3317" spans="1:2" x14ac:dyDescent="0.25">
      <c r="A3317" t="s">
        <v>5898</v>
      </c>
      <c r="B3317">
        <v>458441</v>
      </c>
    </row>
    <row r="3318" spans="1:2" x14ac:dyDescent="0.25">
      <c r="A3318" t="s">
        <v>5899</v>
      </c>
      <c r="B3318">
        <v>460835</v>
      </c>
    </row>
    <row r="3319" spans="1:2" x14ac:dyDescent="0.25">
      <c r="A3319" t="s">
        <v>5900</v>
      </c>
      <c r="B3319">
        <v>491394</v>
      </c>
    </row>
    <row r="3320" spans="1:2" x14ac:dyDescent="0.25">
      <c r="A3320" t="s">
        <v>5901</v>
      </c>
      <c r="B3320">
        <v>458405</v>
      </c>
    </row>
    <row r="3321" spans="1:2" x14ac:dyDescent="0.25">
      <c r="A3321" t="s">
        <v>5902</v>
      </c>
      <c r="B3321">
        <v>460817</v>
      </c>
    </row>
    <row r="3322" spans="1:2" x14ac:dyDescent="0.25">
      <c r="A3322" t="s">
        <v>5903</v>
      </c>
      <c r="B3322">
        <v>475060</v>
      </c>
    </row>
    <row r="3323" spans="1:2" x14ac:dyDescent="0.25">
      <c r="A3323" t="s">
        <v>5904</v>
      </c>
      <c r="B3323">
        <v>456579</v>
      </c>
    </row>
    <row r="3324" spans="1:2" x14ac:dyDescent="0.25">
      <c r="A3324" t="s">
        <v>5905</v>
      </c>
      <c r="B3324">
        <v>438221</v>
      </c>
    </row>
    <row r="3325" spans="1:2" x14ac:dyDescent="0.25">
      <c r="A3325" t="s">
        <v>5906</v>
      </c>
      <c r="B3325">
        <v>367112</v>
      </c>
    </row>
    <row r="3326" spans="1:2" x14ac:dyDescent="0.25">
      <c r="A3326" t="s">
        <v>5907</v>
      </c>
      <c r="B3326">
        <v>428143</v>
      </c>
    </row>
    <row r="3327" spans="1:2" x14ac:dyDescent="0.25">
      <c r="A3327" t="s">
        <v>5908</v>
      </c>
      <c r="B3327">
        <v>245962</v>
      </c>
    </row>
    <row r="3328" spans="1:2" x14ac:dyDescent="0.25">
      <c r="A3328" t="s">
        <v>5909</v>
      </c>
      <c r="B3328">
        <v>456205</v>
      </c>
    </row>
    <row r="3329" spans="1:2" x14ac:dyDescent="0.25">
      <c r="A3329" t="s">
        <v>5910</v>
      </c>
      <c r="B3329">
        <v>456931</v>
      </c>
    </row>
    <row r="3330" spans="1:2" x14ac:dyDescent="0.25">
      <c r="A3330" t="s">
        <v>5911</v>
      </c>
      <c r="B3330">
        <v>228219</v>
      </c>
    </row>
    <row r="3331" spans="1:2" x14ac:dyDescent="0.25">
      <c r="A3331" t="s">
        <v>5912</v>
      </c>
      <c r="B3331">
        <v>460172</v>
      </c>
    </row>
    <row r="3332" spans="1:2" x14ac:dyDescent="0.25">
      <c r="A3332" t="s">
        <v>5913</v>
      </c>
      <c r="B3332">
        <v>198978</v>
      </c>
    </row>
    <row r="3333" spans="1:2" x14ac:dyDescent="0.25">
      <c r="A3333" t="s">
        <v>5914</v>
      </c>
      <c r="B3333">
        <v>214041</v>
      </c>
    </row>
    <row r="3334" spans="1:2" x14ac:dyDescent="0.25">
      <c r="A3334" t="s">
        <v>5915</v>
      </c>
      <c r="B3334">
        <v>486901</v>
      </c>
    </row>
    <row r="3335" spans="1:2" x14ac:dyDescent="0.25">
      <c r="A3335" t="s">
        <v>5916</v>
      </c>
      <c r="B3335">
        <v>147244</v>
      </c>
    </row>
    <row r="3336" spans="1:2" x14ac:dyDescent="0.25">
      <c r="A3336" t="s">
        <v>5917</v>
      </c>
      <c r="B3336">
        <v>118888</v>
      </c>
    </row>
    <row r="3337" spans="1:2" x14ac:dyDescent="0.25">
      <c r="A3337" t="s">
        <v>5918</v>
      </c>
      <c r="B3337">
        <v>175980</v>
      </c>
    </row>
    <row r="3338" spans="1:2" x14ac:dyDescent="0.25">
      <c r="A3338" t="s">
        <v>5919</v>
      </c>
      <c r="B3338">
        <v>239248</v>
      </c>
    </row>
    <row r="3339" spans="1:2" x14ac:dyDescent="0.25">
      <c r="A3339" t="s">
        <v>5920</v>
      </c>
      <c r="B3339">
        <v>449861</v>
      </c>
    </row>
    <row r="3340" spans="1:2" x14ac:dyDescent="0.25">
      <c r="A3340" t="s">
        <v>5921</v>
      </c>
      <c r="B3340">
        <v>239309</v>
      </c>
    </row>
    <row r="3341" spans="1:2" x14ac:dyDescent="0.25">
      <c r="A3341" t="s">
        <v>5922</v>
      </c>
      <c r="B3341">
        <v>239318</v>
      </c>
    </row>
    <row r="3342" spans="1:2" x14ac:dyDescent="0.25">
      <c r="A3342" t="s">
        <v>5923</v>
      </c>
      <c r="B3342">
        <v>483887</v>
      </c>
    </row>
    <row r="3343" spans="1:2" x14ac:dyDescent="0.25">
      <c r="A3343" t="s">
        <v>5924</v>
      </c>
      <c r="B3343">
        <v>178217</v>
      </c>
    </row>
    <row r="3344" spans="1:2" x14ac:dyDescent="0.25">
      <c r="A3344" t="s">
        <v>5925</v>
      </c>
      <c r="B3344">
        <v>368647</v>
      </c>
    </row>
    <row r="3345" spans="1:2" x14ac:dyDescent="0.25">
      <c r="A3345" t="s">
        <v>5926</v>
      </c>
      <c r="B3345">
        <v>484844</v>
      </c>
    </row>
    <row r="3346" spans="1:2" x14ac:dyDescent="0.25">
      <c r="A3346" t="s">
        <v>5927</v>
      </c>
      <c r="B3346">
        <v>486202</v>
      </c>
    </row>
    <row r="3347" spans="1:2" x14ac:dyDescent="0.25">
      <c r="A3347" t="s">
        <v>5928</v>
      </c>
      <c r="B3347">
        <v>174127</v>
      </c>
    </row>
    <row r="3348" spans="1:2" x14ac:dyDescent="0.25">
      <c r="A3348" t="s">
        <v>5929</v>
      </c>
      <c r="B3348">
        <v>174136</v>
      </c>
    </row>
    <row r="3349" spans="1:2" x14ac:dyDescent="0.25">
      <c r="A3349" t="s">
        <v>5930</v>
      </c>
      <c r="B3349">
        <v>174190</v>
      </c>
    </row>
    <row r="3350" spans="1:2" x14ac:dyDescent="0.25">
      <c r="A3350" t="s">
        <v>5931</v>
      </c>
      <c r="B3350">
        <v>175263</v>
      </c>
    </row>
    <row r="3351" spans="1:2" x14ac:dyDescent="0.25">
      <c r="A3351" t="s">
        <v>5932</v>
      </c>
      <c r="B3351">
        <v>428453</v>
      </c>
    </row>
    <row r="3352" spans="1:2" x14ac:dyDescent="0.25">
      <c r="A3352" t="s">
        <v>5933</v>
      </c>
      <c r="B3352">
        <v>173559</v>
      </c>
    </row>
    <row r="3353" spans="1:2" x14ac:dyDescent="0.25">
      <c r="A3353" t="s">
        <v>5934</v>
      </c>
      <c r="B3353">
        <v>174358</v>
      </c>
    </row>
    <row r="3354" spans="1:2" x14ac:dyDescent="0.25">
      <c r="A3354" t="s">
        <v>5935</v>
      </c>
      <c r="B3354">
        <v>173920</v>
      </c>
    </row>
    <row r="3355" spans="1:2" x14ac:dyDescent="0.25">
      <c r="A3355" t="s">
        <v>5936</v>
      </c>
      <c r="B3355">
        <v>173638</v>
      </c>
    </row>
    <row r="3356" spans="1:2" x14ac:dyDescent="0.25">
      <c r="A3356" t="s">
        <v>5937</v>
      </c>
      <c r="B3356">
        <v>200253</v>
      </c>
    </row>
    <row r="3357" spans="1:2" x14ac:dyDescent="0.25">
      <c r="A3357" t="s">
        <v>5938</v>
      </c>
      <c r="B3357">
        <v>118912</v>
      </c>
    </row>
    <row r="3358" spans="1:2" x14ac:dyDescent="0.25">
      <c r="A3358" t="s">
        <v>5939</v>
      </c>
      <c r="B3358">
        <v>193247</v>
      </c>
    </row>
    <row r="3359" spans="1:2" x14ac:dyDescent="0.25">
      <c r="A3359" t="s">
        <v>5940</v>
      </c>
      <c r="B3359">
        <v>214069</v>
      </c>
    </row>
    <row r="3360" spans="1:2" x14ac:dyDescent="0.25">
      <c r="A3360" t="s">
        <v>5941</v>
      </c>
      <c r="B3360">
        <v>211130</v>
      </c>
    </row>
    <row r="3361" spans="1:2" x14ac:dyDescent="0.25">
      <c r="A3361" t="s">
        <v>5942</v>
      </c>
      <c r="B3361">
        <v>488299</v>
      </c>
    </row>
    <row r="3362" spans="1:2" x14ac:dyDescent="0.25">
      <c r="A3362" t="s">
        <v>5943</v>
      </c>
      <c r="B3362">
        <v>118930</v>
      </c>
    </row>
    <row r="3363" spans="1:2" x14ac:dyDescent="0.25">
      <c r="A3363" t="s">
        <v>5944</v>
      </c>
      <c r="B3363">
        <v>176053</v>
      </c>
    </row>
    <row r="3364" spans="1:2" x14ac:dyDescent="0.25">
      <c r="A3364" t="s">
        <v>5945</v>
      </c>
      <c r="B3364">
        <v>247737</v>
      </c>
    </row>
    <row r="3365" spans="1:2" x14ac:dyDescent="0.25">
      <c r="A3365" t="s">
        <v>5946</v>
      </c>
      <c r="B3365">
        <v>176008</v>
      </c>
    </row>
    <row r="3366" spans="1:2" x14ac:dyDescent="0.25">
      <c r="A3366" t="s">
        <v>5947</v>
      </c>
      <c r="B3366">
        <v>176071</v>
      </c>
    </row>
    <row r="3367" spans="1:2" x14ac:dyDescent="0.25">
      <c r="A3367" t="s">
        <v>5948</v>
      </c>
      <c r="B3367">
        <v>455105</v>
      </c>
    </row>
    <row r="3368" spans="1:2" x14ac:dyDescent="0.25">
      <c r="A3368" t="s">
        <v>5949</v>
      </c>
      <c r="B3368">
        <v>176080</v>
      </c>
    </row>
    <row r="3369" spans="1:2" x14ac:dyDescent="0.25">
      <c r="A3369" t="s">
        <v>5950</v>
      </c>
      <c r="B3369">
        <v>176035</v>
      </c>
    </row>
    <row r="3370" spans="1:2" x14ac:dyDescent="0.25">
      <c r="A3370" t="s">
        <v>5951</v>
      </c>
      <c r="B3370">
        <v>176044</v>
      </c>
    </row>
    <row r="3371" spans="1:2" x14ac:dyDescent="0.25">
      <c r="A3371" t="s">
        <v>5952</v>
      </c>
      <c r="B3371">
        <v>178244</v>
      </c>
    </row>
    <row r="3372" spans="1:2" x14ac:dyDescent="0.25">
      <c r="A3372" t="s">
        <v>5953</v>
      </c>
      <c r="B3372">
        <v>178077</v>
      </c>
    </row>
    <row r="3373" spans="1:2" x14ac:dyDescent="0.25">
      <c r="A3373" t="s">
        <v>5954</v>
      </c>
      <c r="B3373">
        <v>440226</v>
      </c>
    </row>
    <row r="3374" spans="1:2" x14ac:dyDescent="0.25">
      <c r="A3374" t="s">
        <v>5955</v>
      </c>
      <c r="B3374">
        <v>178341</v>
      </c>
    </row>
    <row r="3375" spans="1:2" x14ac:dyDescent="0.25">
      <c r="A3375" t="s">
        <v>5956</v>
      </c>
      <c r="B3375">
        <v>179566</v>
      </c>
    </row>
    <row r="3376" spans="1:2" x14ac:dyDescent="0.25">
      <c r="A3376" t="s">
        <v>5957</v>
      </c>
      <c r="B3376">
        <v>179344</v>
      </c>
    </row>
    <row r="3377" spans="1:2" x14ac:dyDescent="0.25">
      <c r="A3377" t="s">
        <v>5958</v>
      </c>
      <c r="B3377">
        <v>178411</v>
      </c>
    </row>
    <row r="3378" spans="1:2" x14ac:dyDescent="0.25">
      <c r="A3378" t="s">
        <v>5959</v>
      </c>
      <c r="B3378">
        <v>178369</v>
      </c>
    </row>
    <row r="3379" spans="1:2" x14ac:dyDescent="0.25">
      <c r="A3379" t="s">
        <v>5960</v>
      </c>
      <c r="B3379">
        <v>178387</v>
      </c>
    </row>
    <row r="3380" spans="1:2" x14ac:dyDescent="0.25">
      <c r="A3380" t="s">
        <v>5961</v>
      </c>
      <c r="B3380">
        <v>129774</v>
      </c>
    </row>
    <row r="3381" spans="1:2" x14ac:dyDescent="0.25">
      <c r="A3381" t="s">
        <v>5962</v>
      </c>
      <c r="B3381">
        <v>198987</v>
      </c>
    </row>
    <row r="3382" spans="1:2" x14ac:dyDescent="0.25">
      <c r="A3382" t="s">
        <v>5963</v>
      </c>
      <c r="B3382">
        <v>175281</v>
      </c>
    </row>
    <row r="3383" spans="1:2" x14ac:dyDescent="0.25">
      <c r="A3383" t="s">
        <v>5964</v>
      </c>
      <c r="B3383">
        <v>219189</v>
      </c>
    </row>
    <row r="3384" spans="1:2" x14ac:dyDescent="0.25">
      <c r="A3384" t="s">
        <v>5965</v>
      </c>
      <c r="B3384">
        <v>199005</v>
      </c>
    </row>
    <row r="3385" spans="1:2" x14ac:dyDescent="0.25">
      <c r="A3385" t="s">
        <v>5965</v>
      </c>
      <c r="B3385">
        <v>413972</v>
      </c>
    </row>
    <row r="3386" spans="1:2" x14ac:dyDescent="0.25">
      <c r="A3386" t="s">
        <v>5966</v>
      </c>
      <c r="B3386">
        <v>476902</v>
      </c>
    </row>
    <row r="3387" spans="1:2" x14ac:dyDescent="0.25">
      <c r="A3387" t="s">
        <v>5967</v>
      </c>
      <c r="B3387">
        <v>493761</v>
      </c>
    </row>
    <row r="3388" spans="1:2" x14ac:dyDescent="0.25">
      <c r="A3388" t="s">
        <v>5968</v>
      </c>
      <c r="B3388">
        <v>485582</v>
      </c>
    </row>
    <row r="3389" spans="1:2" x14ac:dyDescent="0.25">
      <c r="A3389" t="s">
        <v>5969</v>
      </c>
      <c r="B3389">
        <v>178448</v>
      </c>
    </row>
    <row r="3390" spans="1:2" x14ac:dyDescent="0.25">
      <c r="A3390" t="s">
        <v>5970</v>
      </c>
      <c r="B3390">
        <v>490249</v>
      </c>
    </row>
    <row r="3391" spans="1:2" x14ac:dyDescent="0.25">
      <c r="A3391" t="s">
        <v>5971</v>
      </c>
      <c r="B3391">
        <v>174321</v>
      </c>
    </row>
    <row r="3392" spans="1:2" x14ac:dyDescent="0.25">
      <c r="A3392" t="s">
        <v>5972</v>
      </c>
      <c r="B3392">
        <v>118958</v>
      </c>
    </row>
    <row r="3393" spans="1:2" x14ac:dyDescent="0.25">
      <c r="A3393" t="s">
        <v>5973</v>
      </c>
      <c r="B3393">
        <v>242954</v>
      </c>
    </row>
    <row r="3394" spans="1:2" x14ac:dyDescent="0.25">
      <c r="A3394" t="s">
        <v>5974</v>
      </c>
      <c r="B3394">
        <v>242945</v>
      </c>
    </row>
    <row r="3395" spans="1:2" x14ac:dyDescent="0.25">
      <c r="A3395" t="s">
        <v>5975</v>
      </c>
      <c r="B3395">
        <v>438337</v>
      </c>
    </row>
    <row r="3396" spans="1:2" x14ac:dyDescent="0.25">
      <c r="A3396" t="s">
        <v>5976</v>
      </c>
      <c r="B3396">
        <v>371928</v>
      </c>
    </row>
    <row r="3397" spans="1:2" x14ac:dyDescent="0.25">
      <c r="A3397" t="s">
        <v>5977</v>
      </c>
      <c r="B3397">
        <v>193265</v>
      </c>
    </row>
    <row r="3398" spans="1:2" x14ac:dyDescent="0.25">
      <c r="A3398" t="s">
        <v>5978</v>
      </c>
      <c r="B3398">
        <v>118976</v>
      </c>
    </row>
    <row r="3399" spans="1:2" x14ac:dyDescent="0.25">
      <c r="A3399" t="s">
        <v>5979</v>
      </c>
      <c r="B3399">
        <v>105206</v>
      </c>
    </row>
    <row r="3400" spans="1:2" x14ac:dyDescent="0.25">
      <c r="A3400" t="s">
        <v>5980</v>
      </c>
      <c r="B3400">
        <v>193283</v>
      </c>
    </row>
    <row r="3401" spans="1:2" x14ac:dyDescent="0.25">
      <c r="A3401" t="s">
        <v>5981</v>
      </c>
      <c r="B3401">
        <v>118994</v>
      </c>
    </row>
    <row r="3402" spans="1:2" x14ac:dyDescent="0.25">
      <c r="A3402" t="s">
        <v>5982</v>
      </c>
      <c r="B3402">
        <v>204121</v>
      </c>
    </row>
    <row r="3403" spans="1:2" x14ac:dyDescent="0.25">
      <c r="A3403" t="s">
        <v>5983</v>
      </c>
      <c r="B3403">
        <v>250902</v>
      </c>
    </row>
    <row r="3404" spans="1:2" x14ac:dyDescent="0.25">
      <c r="A3404" t="s">
        <v>5984</v>
      </c>
      <c r="B3404">
        <v>193292</v>
      </c>
    </row>
    <row r="3405" spans="1:2" x14ac:dyDescent="0.25">
      <c r="A3405" t="s">
        <v>5985</v>
      </c>
      <c r="B3405">
        <v>147341</v>
      </c>
    </row>
    <row r="3406" spans="1:2" x14ac:dyDescent="0.25">
      <c r="A3406" t="s">
        <v>5986</v>
      </c>
      <c r="B3406">
        <v>185572</v>
      </c>
    </row>
    <row r="3407" spans="1:2" x14ac:dyDescent="0.25">
      <c r="A3407" t="s">
        <v>5987</v>
      </c>
      <c r="B3407">
        <v>237561</v>
      </c>
    </row>
    <row r="3408" spans="1:2" x14ac:dyDescent="0.25">
      <c r="A3408" t="s">
        <v>5988</v>
      </c>
      <c r="B3408">
        <v>451459</v>
      </c>
    </row>
    <row r="3409" spans="1:2" x14ac:dyDescent="0.25">
      <c r="A3409" t="s">
        <v>5989</v>
      </c>
      <c r="B3409">
        <v>193308</v>
      </c>
    </row>
    <row r="3410" spans="1:2" x14ac:dyDescent="0.25">
      <c r="A3410" t="s">
        <v>5990</v>
      </c>
      <c r="B3410">
        <v>193326</v>
      </c>
    </row>
    <row r="3411" spans="1:2" x14ac:dyDescent="0.25">
      <c r="A3411" t="s">
        <v>5991</v>
      </c>
      <c r="B3411">
        <v>171225</v>
      </c>
    </row>
    <row r="3412" spans="1:2" x14ac:dyDescent="0.25">
      <c r="A3412" t="s">
        <v>5992</v>
      </c>
      <c r="B3412">
        <v>457749</v>
      </c>
    </row>
    <row r="3413" spans="1:2" x14ac:dyDescent="0.25">
      <c r="A3413" t="s">
        <v>5993</v>
      </c>
      <c r="B3413">
        <v>493655</v>
      </c>
    </row>
    <row r="3414" spans="1:2" x14ac:dyDescent="0.25">
      <c r="A3414" t="s">
        <v>5994</v>
      </c>
      <c r="B3414">
        <v>262165</v>
      </c>
    </row>
    <row r="3415" spans="1:2" x14ac:dyDescent="0.25">
      <c r="A3415" t="s">
        <v>5995</v>
      </c>
      <c r="B3415">
        <v>180461</v>
      </c>
    </row>
    <row r="3416" spans="1:2" x14ac:dyDescent="0.25">
      <c r="A3416" t="s">
        <v>5996</v>
      </c>
      <c r="B3416">
        <v>180179</v>
      </c>
    </row>
    <row r="3417" spans="1:2" x14ac:dyDescent="0.25">
      <c r="A3417" t="s">
        <v>5997</v>
      </c>
      <c r="B3417">
        <v>180522</v>
      </c>
    </row>
    <row r="3418" spans="1:2" x14ac:dyDescent="0.25">
      <c r="A3418" t="s">
        <v>5998</v>
      </c>
      <c r="B3418">
        <v>180416</v>
      </c>
    </row>
    <row r="3419" spans="1:2" x14ac:dyDescent="0.25">
      <c r="A3419" t="s">
        <v>5999</v>
      </c>
      <c r="B3419">
        <v>171234</v>
      </c>
    </row>
    <row r="3420" spans="1:2" x14ac:dyDescent="0.25">
      <c r="A3420" t="s">
        <v>6000</v>
      </c>
      <c r="B3420">
        <v>185590</v>
      </c>
    </row>
    <row r="3421" spans="1:2" x14ac:dyDescent="0.25">
      <c r="A3421" t="s">
        <v>6001</v>
      </c>
      <c r="B3421">
        <v>437705</v>
      </c>
    </row>
    <row r="3422" spans="1:2" x14ac:dyDescent="0.25">
      <c r="A3422" t="s">
        <v>6002</v>
      </c>
      <c r="B3422">
        <v>193380</v>
      </c>
    </row>
    <row r="3423" spans="1:2" x14ac:dyDescent="0.25">
      <c r="A3423" t="s">
        <v>6003</v>
      </c>
      <c r="B3423">
        <v>119067</v>
      </c>
    </row>
    <row r="3424" spans="1:2" x14ac:dyDescent="0.25">
      <c r="A3424" t="s">
        <v>6004</v>
      </c>
      <c r="B3424">
        <v>127954</v>
      </c>
    </row>
    <row r="3425" spans="1:2" x14ac:dyDescent="0.25">
      <c r="A3425" t="s">
        <v>6005</v>
      </c>
      <c r="B3425">
        <v>163408</v>
      </c>
    </row>
    <row r="3426" spans="1:2" x14ac:dyDescent="0.25">
      <c r="A3426" t="s">
        <v>6006</v>
      </c>
      <c r="B3426">
        <v>163426</v>
      </c>
    </row>
    <row r="3427" spans="1:2" x14ac:dyDescent="0.25">
      <c r="A3427" t="s">
        <v>6007</v>
      </c>
      <c r="B3427">
        <v>199023</v>
      </c>
    </row>
    <row r="3428" spans="1:2" x14ac:dyDescent="0.25">
      <c r="A3428" t="s">
        <v>6008</v>
      </c>
      <c r="B3428">
        <v>214111</v>
      </c>
    </row>
    <row r="3429" spans="1:2" x14ac:dyDescent="0.25">
      <c r="A3429" t="s">
        <v>6009</v>
      </c>
      <c r="B3429">
        <v>199032</v>
      </c>
    </row>
    <row r="3430" spans="1:2" x14ac:dyDescent="0.25">
      <c r="A3430" t="s">
        <v>6010</v>
      </c>
      <c r="B3430">
        <v>166911</v>
      </c>
    </row>
    <row r="3431" spans="1:2" x14ac:dyDescent="0.25">
      <c r="A3431" t="s">
        <v>6011</v>
      </c>
      <c r="B3431">
        <v>433040</v>
      </c>
    </row>
    <row r="3432" spans="1:2" x14ac:dyDescent="0.25">
      <c r="A3432" t="s">
        <v>6012</v>
      </c>
      <c r="B3432">
        <v>147369</v>
      </c>
    </row>
    <row r="3433" spans="1:2" x14ac:dyDescent="0.25">
      <c r="A3433" t="s">
        <v>8830</v>
      </c>
      <c r="B3433">
        <v>497064</v>
      </c>
    </row>
    <row r="3434" spans="1:2" x14ac:dyDescent="0.25">
      <c r="A3434" t="s">
        <v>6013</v>
      </c>
      <c r="B3434">
        <v>444662</v>
      </c>
    </row>
    <row r="3435" spans="1:2" x14ac:dyDescent="0.25">
      <c r="A3435" t="s">
        <v>6014</v>
      </c>
      <c r="B3435">
        <v>214148</v>
      </c>
    </row>
    <row r="3436" spans="1:2" x14ac:dyDescent="0.25">
      <c r="A3436" t="s">
        <v>6015</v>
      </c>
      <c r="B3436">
        <v>248606</v>
      </c>
    </row>
    <row r="3437" spans="1:2" x14ac:dyDescent="0.25">
      <c r="A3437" t="s">
        <v>6016</v>
      </c>
      <c r="B3437">
        <v>119137</v>
      </c>
    </row>
    <row r="3438" spans="1:2" x14ac:dyDescent="0.25">
      <c r="A3438" t="s">
        <v>6017</v>
      </c>
      <c r="B3438">
        <v>239372</v>
      </c>
    </row>
    <row r="3439" spans="1:2" x14ac:dyDescent="0.25">
      <c r="A3439" t="s">
        <v>6018</v>
      </c>
      <c r="B3439">
        <v>147378</v>
      </c>
    </row>
    <row r="3440" spans="1:2" x14ac:dyDescent="0.25">
      <c r="A3440" t="s">
        <v>6019</v>
      </c>
      <c r="B3440">
        <v>214157</v>
      </c>
    </row>
    <row r="3441" spans="1:2" x14ac:dyDescent="0.25">
      <c r="A3441" t="s">
        <v>6020</v>
      </c>
      <c r="B3441">
        <v>483470</v>
      </c>
    </row>
    <row r="3442" spans="1:2" x14ac:dyDescent="0.25">
      <c r="A3442" t="s">
        <v>6021</v>
      </c>
      <c r="B3442">
        <v>157386</v>
      </c>
    </row>
    <row r="3443" spans="1:2" x14ac:dyDescent="0.25">
      <c r="A3443" t="s">
        <v>6022</v>
      </c>
      <c r="B3443">
        <v>140553</v>
      </c>
    </row>
    <row r="3444" spans="1:2" x14ac:dyDescent="0.25">
      <c r="A3444" t="s">
        <v>6023</v>
      </c>
      <c r="B3444">
        <v>140562</v>
      </c>
    </row>
    <row r="3445" spans="1:2" x14ac:dyDescent="0.25">
      <c r="A3445" t="s">
        <v>6024</v>
      </c>
      <c r="B3445">
        <v>460394</v>
      </c>
    </row>
    <row r="3446" spans="1:2" x14ac:dyDescent="0.25">
      <c r="A3446" t="s">
        <v>6025</v>
      </c>
      <c r="B3446">
        <v>127617</v>
      </c>
    </row>
    <row r="3447" spans="1:2" x14ac:dyDescent="0.25">
      <c r="A3447" t="s">
        <v>6026</v>
      </c>
      <c r="B3447">
        <v>163453</v>
      </c>
    </row>
    <row r="3448" spans="1:2" x14ac:dyDescent="0.25">
      <c r="A3448" t="s">
        <v>6027</v>
      </c>
      <c r="B3448">
        <v>237570</v>
      </c>
    </row>
    <row r="3449" spans="1:2" x14ac:dyDescent="0.25">
      <c r="A3449" t="s">
        <v>6028</v>
      </c>
      <c r="B3449">
        <v>154004</v>
      </c>
    </row>
    <row r="3450" spans="1:2" x14ac:dyDescent="0.25">
      <c r="A3450" t="s">
        <v>6029</v>
      </c>
      <c r="B3450">
        <v>218399</v>
      </c>
    </row>
    <row r="3451" spans="1:2" x14ac:dyDescent="0.25">
      <c r="A3451" t="s">
        <v>6030</v>
      </c>
      <c r="B3451">
        <v>365763</v>
      </c>
    </row>
    <row r="3452" spans="1:2" x14ac:dyDescent="0.25">
      <c r="A3452" t="s">
        <v>6031</v>
      </c>
      <c r="B3452">
        <v>147396</v>
      </c>
    </row>
    <row r="3453" spans="1:2" x14ac:dyDescent="0.25">
      <c r="A3453" t="s">
        <v>6032</v>
      </c>
      <c r="B3453">
        <v>147411</v>
      </c>
    </row>
    <row r="3454" spans="1:2" x14ac:dyDescent="0.25">
      <c r="A3454" t="s">
        <v>6033</v>
      </c>
      <c r="B3454">
        <v>496478</v>
      </c>
    </row>
    <row r="3455" spans="1:2" x14ac:dyDescent="0.25">
      <c r="A3455" t="s">
        <v>6034</v>
      </c>
      <c r="B3455">
        <v>221096</v>
      </c>
    </row>
    <row r="3456" spans="1:2" x14ac:dyDescent="0.25">
      <c r="A3456" t="s">
        <v>6035</v>
      </c>
      <c r="B3456">
        <v>414124</v>
      </c>
    </row>
    <row r="3457" spans="1:2" x14ac:dyDescent="0.25">
      <c r="A3457" t="s">
        <v>6036</v>
      </c>
      <c r="B3457">
        <v>479062</v>
      </c>
    </row>
    <row r="3458" spans="1:2" x14ac:dyDescent="0.25">
      <c r="A3458" t="s">
        <v>6037</v>
      </c>
      <c r="B3458">
        <v>169275</v>
      </c>
    </row>
    <row r="3459" spans="1:2" x14ac:dyDescent="0.25">
      <c r="A3459" t="s">
        <v>6038</v>
      </c>
      <c r="B3459">
        <v>214166</v>
      </c>
    </row>
    <row r="3460" spans="1:2" x14ac:dyDescent="0.25">
      <c r="A3460" t="s">
        <v>6039</v>
      </c>
      <c r="B3460">
        <v>209241</v>
      </c>
    </row>
    <row r="3461" spans="1:2" x14ac:dyDescent="0.25">
      <c r="A3461" t="s">
        <v>6040</v>
      </c>
      <c r="B3461">
        <v>204176</v>
      </c>
    </row>
    <row r="3462" spans="1:2" x14ac:dyDescent="0.25">
      <c r="A3462" t="s">
        <v>6041</v>
      </c>
      <c r="B3462">
        <v>166939</v>
      </c>
    </row>
    <row r="3463" spans="1:2" x14ac:dyDescent="0.25">
      <c r="A3463" t="s">
        <v>6042</v>
      </c>
      <c r="B3463">
        <v>219198</v>
      </c>
    </row>
    <row r="3464" spans="1:2" x14ac:dyDescent="0.25">
      <c r="A3464" t="s">
        <v>6043</v>
      </c>
      <c r="B3464">
        <v>239390</v>
      </c>
    </row>
    <row r="3465" spans="1:2" x14ac:dyDescent="0.25">
      <c r="A3465" t="s">
        <v>6044</v>
      </c>
      <c r="B3465">
        <v>154013</v>
      </c>
    </row>
    <row r="3466" spans="1:2" x14ac:dyDescent="0.25">
      <c r="A3466" t="s">
        <v>6045</v>
      </c>
      <c r="B3466">
        <v>204200</v>
      </c>
    </row>
    <row r="3467" spans="1:2" x14ac:dyDescent="0.25">
      <c r="A3467" t="s">
        <v>6046</v>
      </c>
      <c r="B3467">
        <v>193353</v>
      </c>
    </row>
    <row r="3468" spans="1:2" x14ac:dyDescent="0.25">
      <c r="A3468" t="s">
        <v>6047</v>
      </c>
      <c r="B3468">
        <v>119173</v>
      </c>
    </row>
    <row r="3469" spans="1:2" x14ac:dyDescent="0.25">
      <c r="A3469" t="s">
        <v>6048</v>
      </c>
      <c r="B3469">
        <v>163462</v>
      </c>
    </row>
    <row r="3470" spans="1:2" x14ac:dyDescent="0.25">
      <c r="A3470" t="s">
        <v>6049</v>
      </c>
      <c r="B3470">
        <v>204194</v>
      </c>
    </row>
    <row r="3471" spans="1:2" x14ac:dyDescent="0.25">
      <c r="A3471" t="s">
        <v>6050</v>
      </c>
      <c r="B3471">
        <v>166957</v>
      </c>
    </row>
    <row r="3472" spans="1:2" x14ac:dyDescent="0.25">
      <c r="A3472" t="s">
        <v>6051</v>
      </c>
      <c r="B3472">
        <v>232788</v>
      </c>
    </row>
    <row r="3473" spans="1:2" x14ac:dyDescent="0.25">
      <c r="A3473" t="s">
        <v>6052</v>
      </c>
      <c r="B3473">
        <v>237598</v>
      </c>
    </row>
    <row r="3474" spans="1:2" x14ac:dyDescent="0.25">
      <c r="A3474" t="s">
        <v>6053</v>
      </c>
      <c r="B3474">
        <v>448275</v>
      </c>
    </row>
    <row r="3475" spans="1:2" x14ac:dyDescent="0.25">
      <c r="A3475" t="s">
        <v>6054</v>
      </c>
      <c r="B3475">
        <v>448248</v>
      </c>
    </row>
    <row r="3476" spans="1:2" x14ac:dyDescent="0.25">
      <c r="A3476" t="s">
        <v>6055</v>
      </c>
      <c r="B3476">
        <v>444954</v>
      </c>
    </row>
    <row r="3477" spans="1:2" x14ac:dyDescent="0.25">
      <c r="A3477" t="s">
        <v>6056</v>
      </c>
      <c r="B3477">
        <v>436100</v>
      </c>
    </row>
    <row r="3478" spans="1:2" x14ac:dyDescent="0.25">
      <c r="A3478" t="s">
        <v>6057</v>
      </c>
      <c r="B3478">
        <v>142416</v>
      </c>
    </row>
    <row r="3479" spans="1:2" x14ac:dyDescent="0.25">
      <c r="A3479" t="s">
        <v>6058</v>
      </c>
      <c r="B3479">
        <v>376631</v>
      </c>
    </row>
    <row r="3480" spans="1:2" x14ac:dyDescent="0.25">
      <c r="A3480" t="s">
        <v>6059</v>
      </c>
      <c r="B3480">
        <v>249061</v>
      </c>
    </row>
    <row r="3481" spans="1:2" x14ac:dyDescent="0.25">
      <c r="A3481" t="s">
        <v>6060</v>
      </c>
      <c r="B3481">
        <v>209250</v>
      </c>
    </row>
    <row r="3482" spans="1:2" x14ac:dyDescent="0.25">
      <c r="A3482" t="s">
        <v>6061</v>
      </c>
      <c r="B3482">
        <v>119164</v>
      </c>
    </row>
    <row r="3483" spans="1:2" x14ac:dyDescent="0.25">
      <c r="A3483" t="s">
        <v>6062</v>
      </c>
      <c r="B3483">
        <v>119216</v>
      </c>
    </row>
    <row r="3484" spans="1:2" x14ac:dyDescent="0.25">
      <c r="A3484" t="s">
        <v>6063</v>
      </c>
      <c r="B3484">
        <v>382258</v>
      </c>
    </row>
    <row r="3485" spans="1:2" x14ac:dyDescent="0.25">
      <c r="A3485" t="s">
        <v>6064</v>
      </c>
      <c r="B3485">
        <v>118198</v>
      </c>
    </row>
    <row r="3486" spans="1:2" x14ac:dyDescent="0.25">
      <c r="A3486" t="s">
        <v>6065</v>
      </c>
      <c r="B3486">
        <v>214175</v>
      </c>
    </row>
    <row r="3487" spans="1:2" x14ac:dyDescent="0.25">
      <c r="A3487" t="s">
        <v>6066</v>
      </c>
      <c r="B3487">
        <v>209287</v>
      </c>
    </row>
    <row r="3488" spans="1:2" x14ac:dyDescent="0.25">
      <c r="A3488" t="s">
        <v>6067</v>
      </c>
      <c r="B3488">
        <v>207236</v>
      </c>
    </row>
    <row r="3489" spans="1:2" x14ac:dyDescent="0.25">
      <c r="A3489" t="s">
        <v>6068</v>
      </c>
      <c r="B3489">
        <v>157401</v>
      </c>
    </row>
    <row r="3490" spans="1:2" x14ac:dyDescent="0.25">
      <c r="A3490" t="s">
        <v>6069</v>
      </c>
      <c r="B3490">
        <v>119270</v>
      </c>
    </row>
    <row r="3491" spans="1:2" x14ac:dyDescent="0.25">
      <c r="A3491" t="s">
        <v>6070</v>
      </c>
      <c r="B3491">
        <v>171304</v>
      </c>
    </row>
    <row r="3492" spans="1:2" x14ac:dyDescent="0.25">
      <c r="A3492" t="s">
        <v>6071</v>
      </c>
      <c r="B3492">
        <v>204264</v>
      </c>
    </row>
    <row r="3493" spans="1:2" x14ac:dyDescent="0.25">
      <c r="A3493" t="s">
        <v>6072</v>
      </c>
      <c r="B3493">
        <v>490337</v>
      </c>
    </row>
    <row r="3494" spans="1:2" x14ac:dyDescent="0.25">
      <c r="A3494" t="s">
        <v>6073</v>
      </c>
      <c r="B3494">
        <v>439747</v>
      </c>
    </row>
    <row r="3495" spans="1:2" x14ac:dyDescent="0.25">
      <c r="A3495" t="s">
        <v>6073</v>
      </c>
      <c r="B3495">
        <v>457606</v>
      </c>
    </row>
    <row r="3496" spans="1:2" x14ac:dyDescent="0.25">
      <c r="A3496" t="s">
        <v>6074</v>
      </c>
      <c r="B3496">
        <v>451228</v>
      </c>
    </row>
    <row r="3497" spans="1:2" x14ac:dyDescent="0.25">
      <c r="A3497" t="s">
        <v>6075</v>
      </c>
      <c r="B3497">
        <v>451477</v>
      </c>
    </row>
    <row r="3498" spans="1:2" x14ac:dyDescent="0.25">
      <c r="A3498" t="s">
        <v>6076</v>
      </c>
      <c r="B3498">
        <v>480037</v>
      </c>
    </row>
    <row r="3499" spans="1:2" x14ac:dyDescent="0.25">
      <c r="A3499" t="s">
        <v>6077</v>
      </c>
      <c r="B3499">
        <v>406486</v>
      </c>
    </row>
    <row r="3500" spans="1:2" x14ac:dyDescent="0.25">
      <c r="A3500" t="s">
        <v>6078</v>
      </c>
      <c r="B3500">
        <v>434432</v>
      </c>
    </row>
    <row r="3501" spans="1:2" x14ac:dyDescent="0.25">
      <c r="A3501" t="s">
        <v>6079</v>
      </c>
      <c r="B3501">
        <v>448123</v>
      </c>
    </row>
    <row r="3502" spans="1:2" x14ac:dyDescent="0.25">
      <c r="A3502" t="s">
        <v>6080</v>
      </c>
      <c r="B3502">
        <v>491589</v>
      </c>
    </row>
    <row r="3503" spans="1:2" x14ac:dyDescent="0.25">
      <c r="A3503" t="s">
        <v>6081</v>
      </c>
      <c r="B3503">
        <v>119331</v>
      </c>
    </row>
    <row r="3504" spans="1:2" x14ac:dyDescent="0.25">
      <c r="A3504" t="s">
        <v>6082</v>
      </c>
      <c r="B3504">
        <v>127653</v>
      </c>
    </row>
    <row r="3505" spans="1:2" x14ac:dyDescent="0.25">
      <c r="A3505" t="s">
        <v>6083</v>
      </c>
      <c r="B3505">
        <v>442611</v>
      </c>
    </row>
    <row r="3506" spans="1:2" x14ac:dyDescent="0.25">
      <c r="A3506" t="s">
        <v>6084</v>
      </c>
      <c r="B3506">
        <v>199087</v>
      </c>
    </row>
    <row r="3507" spans="1:2" x14ac:dyDescent="0.25">
      <c r="A3507" t="s">
        <v>6085</v>
      </c>
      <c r="B3507">
        <v>239424</v>
      </c>
    </row>
    <row r="3508" spans="1:2" x14ac:dyDescent="0.25">
      <c r="A3508" t="s">
        <v>6086</v>
      </c>
      <c r="B3508">
        <v>183141</v>
      </c>
    </row>
    <row r="3509" spans="1:2" x14ac:dyDescent="0.25">
      <c r="A3509" t="s">
        <v>6087</v>
      </c>
      <c r="B3509">
        <v>490115</v>
      </c>
    </row>
    <row r="3510" spans="1:2" x14ac:dyDescent="0.25">
      <c r="A3510" t="s">
        <v>6088</v>
      </c>
      <c r="B3510">
        <v>221184</v>
      </c>
    </row>
    <row r="3511" spans="1:2" x14ac:dyDescent="0.25">
      <c r="A3511" t="s">
        <v>6089</v>
      </c>
      <c r="B3511">
        <v>193478</v>
      </c>
    </row>
    <row r="3512" spans="1:2" x14ac:dyDescent="0.25">
      <c r="A3512" t="s">
        <v>6090</v>
      </c>
      <c r="B3512">
        <v>142489</v>
      </c>
    </row>
    <row r="3513" spans="1:2" x14ac:dyDescent="0.25">
      <c r="A3513" t="s">
        <v>6091</v>
      </c>
      <c r="B3513">
        <v>440749</v>
      </c>
    </row>
    <row r="3514" spans="1:2" x14ac:dyDescent="0.25">
      <c r="A3514" t="s">
        <v>6092</v>
      </c>
      <c r="B3514">
        <v>482325</v>
      </c>
    </row>
    <row r="3515" spans="1:2" x14ac:dyDescent="0.25">
      <c r="A3515" t="s">
        <v>6093</v>
      </c>
      <c r="B3515">
        <v>494269</v>
      </c>
    </row>
    <row r="3516" spans="1:2" x14ac:dyDescent="0.25">
      <c r="A3516" t="s">
        <v>6094</v>
      </c>
      <c r="B3516">
        <v>219204</v>
      </c>
    </row>
    <row r="3517" spans="1:2" x14ac:dyDescent="0.25">
      <c r="A3517" t="s">
        <v>6095</v>
      </c>
      <c r="B3517">
        <v>165635</v>
      </c>
    </row>
    <row r="3518" spans="1:2" x14ac:dyDescent="0.25">
      <c r="A3518" t="s">
        <v>6096</v>
      </c>
      <c r="B3518">
        <v>378956</v>
      </c>
    </row>
    <row r="3519" spans="1:2" x14ac:dyDescent="0.25">
      <c r="A3519" t="s">
        <v>6097</v>
      </c>
      <c r="B3519">
        <v>204334</v>
      </c>
    </row>
    <row r="3520" spans="1:2" x14ac:dyDescent="0.25">
      <c r="A3520" t="s">
        <v>6097</v>
      </c>
      <c r="B3520">
        <v>454847</v>
      </c>
    </row>
    <row r="3521" spans="1:2" x14ac:dyDescent="0.25">
      <c r="A3521" t="s">
        <v>6098</v>
      </c>
      <c r="B3521">
        <v>455868</v>
      </c>
    </row>
    <row r="3522" spans="1:2" x14ac:dyDescent="0.25">
      <c r="A3522" t="s">
        <v>6099</v>
      </c>
      <c r="B3522">
        <v>371964</v>
      </c>
    </row>
    <row r="3523" spans="1:2" x14ac:dyDescent="0.25">
      <c r="A3523" t="s">
        <v>6100</v>
      </c>
      <c r="B3523">
        <v>457767</v>
      </c>
    </row>
    <row r="3524" spans="1:2" x14ac:dyDescent="0.25">
      <c r="A3524" t="s">
        <v>6101</v>
      </c>
      <c r="B3524">
        <v>131830</v>
      </c>
    </row>
    <row r="3525" spans="1:2" x14ac:dyDescent="0.25">
      <c r="A3525" t="s">
        <v>6102</v>
      </c>
      <c r="B3525">
        <v>119553</v>
      </c>
    </row>
    <row r="3526" spans="1:2" x14ac:dyDescent="0.25">
      <c r="A3526" t="s">
        <v>6103</v>
      </c>
      <c r="B3526">
        <v>496618</v>
      </c>
    </row>
    <row r="3527" spans="1:2" x14ac:dyDescent="0.25">
      <c r="A3527" t="s">
        <v>6104</v>
      </c>
      <c r="B3527">
        <v>148955</v>
      </c>
    </row>
    <row r="3528" spans="1:2" x14ac:dyDescent="0.25">
      <c r="A3528" t="s">
        <v>6105</v>
      </c>
      <c r="B3528">
        <v>147536</v>
      </c>
    </row>
    <row r="3529" spans="1:2" x14ac:dyDescent="0.25">
      <c r="A3529" t="s">
        <v>6106</v>
      </c>
      <c r="B3529">
        <v>461023</v>
      </c>
    </row>
    <row r="3530" spans="1:2" x14ac:dyDescent="0.25">
      <c r="A3530" t="s">
        <v>6107</v>
      </c>
      <c r="B3530">
        <v>106980</v>
      </c>
    </row>
    <row r="3531" spans="1:2" x14ac:dyDescent="0.25">
      <c r="A3531" t="s">
        <v>6108</v>
      </c>
      <c r="B3531">
        <v>488280</v>
      </c>
    </row>
    <row r="3532" spans="1:2" x14ac:dyDescent="0.25">
      <c r="A3532" t="s">
        <v>6109</v>
      </c>
      <c r="B3532">
        <v>490018</v>
      </c>
    </row>
    <row r="3533" spans="1:2" x14ac:dyDescent="0.25">
      <c r="A3533" t="s">
        <v>6110</v>
      </c>
      <c r="B3533">
        <v>447759</v>
      </c>
    </row>
    <row r="3534" spans="1:2" x14ac:dyDescent="0.25">
      <c r="A3534" t="s">
        <v>6111</v>
      </c>
      <c r="B3534">
        <v>375106</v>
      </c>
    </row>
    <row r="3535" spans="1:2" x14ac:dyDescent="0.25">
      <c r="A3535" t="s">
        <v>6112</v>
      </c>
      <c r="B3535">
        <v>367334</v>
      </c>
    </row>
    <row r="3536" spans="1:2" x14ac:dyDescent="0.25">
      <c r="A3536" t="s">
        <v>6113</v>
      </c>
      <c r="B3536">
        <v>119605</v>
      </c>
    </row>
    <row r="3537" spans="1:2" x14ac:dyDescent="0.25">
      <c r="A3537" t="s">
        <v>6114</v>
      </c>
      <c r="B3537">
        <v>147590</v>
      </c>
    </row>
    <row r="3538" spans="1:2" x14ac:dyDescent="0.25">
      <c r="A3538" t="s">
        <v>6115</v>
      </c>
      <c r="B3538">
        <v>209296</v>
      </c>
    </row>
    <row r="3539" spans="1:2" x14ac:dyDescent="0.25">
      <c r="A3539" t="s">
        <v>6116</v>
      </c>
      <c r="B3539">
        <v>488110</v>
      </c>
    </row>
    <row r="3540" spans="1:2" x14ac:dyDescent="0.25">
      <c r="A3540" t="s">
        <v>6117</v>
      </c>
      <c r="B3540">
        <v>129729</v>
      </c>
    </row>
    <row r="3541" spans="1:2" x14ac:dyDescent="0.25">
      <c r="A3541" t="s">
        <v>6118</v>
      </c>
      <c r="B3541">
        <v>187596</v>
      </c>
    </row>
    <row r="3542" spans="1:2" x14ac:dyDescent="0.25">
      <c r="A3542" t="s">
        <v>6119</v>
      </c>
      <c r="B3542">
        <v>119678</v>
      </c>
    </row>
    <row r="3543" spans="1:2" x14ac:dyDescent="0.25">
      <c r="A3543" t="s">
        <v>6120</v>
      </c>
      <c r="B3543">
        <v>227146</v>
      </c>
    </row>
    <row r="3544" spans="1:2" x14ac:dyDescent="0.25">
      <c r="A3544" t="s">
        <v>6121</v>
      </c>
      <c r="B3544">
        <v>127714</v>
      </c>
    </row>
    <row r="3545" spans="1:2" x14ac:dyDescent="0.25">
      <c r="A3545" t="s">
        <v>6122</v>
      </c>
      <c r="B3545">
        <v>178518</v>
      </c>
    </row>
    <row r="3546" spans="1:2" x14ac:dyDescent="0.25">
      <c r="A3546" t="s">
        <v>6123</v>
      </c>
      <c r="B3546">
        <v>193584</v>
      </c>
    </row>
    <row r="3547" spans="1:2" x14ac:dyDescent="0.25">
      <c r="A3547" t="s">
        <v>6124</v>
      </c>
      <c r="B3547">
        <v>181765</v>
      </c>
    </row>
    <row r="3548" spans="1:2" x14ac:dyDescent="0.25">
      <c r="A3548" t="s">
        <v>6125</v>
      </c>
      <c r="B3548">
        <v>181419</v>
      </c>
    </row>
    <row r="3549" spans="1:2" x14ac:dyDescent="0.25">
      <c r="A3549" t="s">
        <v>6126</v>
      </c>
      <c r="B3549">
        <v>181297</v>
      </c>
    </row>
    <row r="3550" spans="1:2" x14ac:dyDescent="0.25">
      <c r="A3550" t="s">
        <v>6127</v>
      </c>
      <c r="B3550">
        <v>181446</v>
      </c>
    </row>
    <row r="3551" spans="1:2" x14ac:dyDescent="0.25">
      <c r="A3551" t="s">
        <v>6128</v>
      </c>
      <c r="B3551">
        <v>483513</v>
      </c>
    </row>
    <row r="3552" spans="1:2" x14ac:dyDescent="0.25">
      <c r="A3552" t="s">
        <v>6129</v>
      </c>
      <c r="B3552">
        <v>193609</v>
      </c>
    </row>
    <row r="3553" spans="1:2" x14ac:dyDescent="0.25">
      <c r="A3553" t="s">
        <v>6130</v>
      </c>
      <c r="B3553">
        <v>491668</v>
      </c>
    </row>
    <row r="3554" spans="1:2" x14ac:dyDescent="0.25">
      <c r="A3554" t="s">
        <v>6131</v>
      </c>
      <c r="B3554">
        <v>178527</v>
      </c>
    </row>
    <row r="3555" spans="1:2" x14ac:dyDescent="0.25">
      <c r="A3555" t="s">
        <v>6132</v>
      </c>
      <c r="B3555">
        <v>155566</v>
      </c>
    </row>
    <row r="3556" spans="1:2" x14ac:dyDescent="0.25">
      <c r="A3556" t="s">
        <v>6133</v>
      </c>
      <c r="B3556">
        <v>163532</v>
      </c>
    </row>
    <row r="3557" spans="1:2" x14ac:dyDescent="0.25">
      <c r="A3557" t="s">
        <v>6134</v>
      </c>
      <c r="B3557">
        <v>483258</v>
      </c>
    </row>
    <row r="3558" spans="1:2" x14ac:dyDescent="0.25">
      <c r="A3558" t="s">
        <v>6135</v>
      </c>
      <c r="B3558">
        <v>214272</v>
      </c>
    </row>
    <row r="3559" spans="1:2" x14ac:dyDescent="0.25">
      <c r="A3559" t="s">
        <v>6136</v>
      </c>
      <c r="B3559">
        <v>445692</v>
      </c>
    </row>
    <row r="3560" spans="1:2" x14ac:dyDescent="0.25">
      <c r="A3560" t="s">
        <v>6137</v>
      </c>
      <c r="B3560">
        <v>414939</v>
      </c>
    </row>
    <row r="3561" spans="1:2" x14ac:dyDescent="0.25">
      <c r="A3561" t="s">
        <v>6138</v>
      </c>
      <c r="B3561">
        <v>441900</v>
      </c>
    </row>
    <row r="3562" spans="1:2" x14ac:dyDescent="0.25">
      <c r="A3562" t="s">
        <v>6139</v>
      </c>
      <c r="B3562">
        <v>182519</v>
      </c>
    </row>
    <row r="3563" spans="1:2" x14ac:dyDescent="0.25">
      <c r="A3563" t="s">
        <v>6140</v>
      </c>
      <c r="B3563">
        <v>449685</v>
      </c>
    </row>
    <row r="3564" spans="1:2" x14ac:dyDescent="0.25">
      <c r="A3564" t="s">
        <v>6141</v>
      </c>
      <c r="B3564">
        <v>101277</v>
      </c>
    </row>
    <row r="3565" spans="1:2" x14ac:dyDescent="0.25">
      <c r="A3565" t="s">
        <v>6142</v>
      </c>
      <c r="B3565">
        <v>485591</v>
      </c>
    </row>
    <row r="3566" spans="1:2" x14ac:dyDescent="0.25">
      <c r="A3566" t="s">
        <v>6143</v>
      </c>
      <c r="B3566">
        <v>185758</v>
      </c>
    </row>
    <row r="3567" spans="1:2" x14ac:dyDescent="0.25">
      <c r="A3567" t="s">
        <v>6144</v>
      </c>
      <c r="B3567">
        <v>214290</v>
      </c>
    </row>
    <row r="3568" spans="1:2" x14ac:dyDescent="0.25">
      <c r="A3568" t="s">
        <v>6145</v>
      </c>
      <c r="B3568">
        <v>262129</v>
      </c>
    </row>
    <row r="3569" spans="1:2" x14ac:dyDescent="0.25">
      <c r="A3569" t="s">
        <v>6146</v>
      </c>
      <c r="B3569">
        <v>437723</v>
      </c>
    </row>
    <row r="3570" spans="1:2" x14ac:dyDescent="0.25">
      <c r="A3570" t="s">
        <v>6147</v>
      </c>
      <c r="B3570">
        <v>439774</v>
      </c>
    </row>
    <row r="3571" spans="1:2" x14ac:dyDescent="0.25">
      <c r="A3571" t="s">
        <v>6148</v>
      </c>
      <c r="B3571">
        <v>419280</v>
      </c>
    </row>
    <row r="3572" spans="1:2" x14ac:dyDescent="0.25">
      <c r="A3572" t="s">
        <v>6149</v>
      </c>
      <c r="B3572">
        <v>182980</v>
      </c>
    </row>
    <row r="3573" spans="1:2" x14ac:dyDescent="0.25">
      <c r="A3573" t="s">
        <v>6150</v>
      </c>
      <c r="B3573">
        <v>167093</v>
      </c>
    </row>
    <row r="3574" spans="1:2" x14ac:dyDescent="0.25">
      <c r="A3574" t="s">
        <v>6151</v>
      </c>
      <c r="B3574">
        <v>230977</v>
      </c>
    </row>
    <row r="3575" spans="1:2" x14ac:dyDescent="0.25">
      <c r="A3575" t="s">
        <v>6152</v>
      </c>
      <c r="B3575">
        <v>373678</v>
      </c>
    </row>
    <row r="3576" spans="1:2" x14ac:dyDescent="0.25">
      <c r="A3576" t="s">
        <v>6153</v>
      </c>
      <c r="B3576">
        <v>217305</v>
      </c>
    </row>
    <row r="3577" spans="1:2" x14ac:dyDescent="0.25">
      <c r="A3577" t="s">
        <v>6154</v>
      </c>
      <c r="B3577">
        <v>167215</v>
      </c>
    </row>
    <row r="3578" spans="1:2" x14ac:dyDescent="0.25">
      <c r="A3578" t="s">
        <v>6155</v>
      </c>
      <c r="B3578">
        <v>182999</v>
      </c>
    </row>
    <row r="3579" spans="1:2" x14ac:dyDescent="0.25">
      <c r="A3579" t="s">
        <v>6156</v>
      </c>
      <c r="B3579">
        <v>129932</v>
      </c>
    </row>
    <row r="3580" spans="1:2" x14ac:dyDescent="0.25">
      <c r="A3580" t="s">
        <v>6157</v>
      </c>
      <c r="B3580">
        <v>480903</v>
      </c>
    </row>
    <row r="3581" spans="1:2" x14ac:dyDescent="0.25">
      <c r="A3581" t="s">
        <v>6158</v>
      </c>
      <c r="B3581">
        <v>468963</v>
      </c>
    </row>
    <row r="3582" spans="1:2" x14ac:dyDescent="0.25">
      <c r="A3582" t="s">
        <v>6159</v>
      </c>
      <c r="B3582">
        <v>217323</v>
      </c>
    </row>
    <row r="3583" spans="1:2" x14ac:dyDescent="0.25">
      <c r="A3583" t="s">
        <v>6160</v>
      </c>
      <c r="B3583">
        <v>183035</v>
      </c>
    </row>
    <row r="3584" spans="1:2" x14ac:dyDescent="0.25">
      <c r="A3584" t="s">
        <v>6161</v>
      </c>
      <c r="B3584">
        <v>208725</v>
      </c>
    </row>
    <row r="3585" spans="1:2" x14ac:dyDescent="0.25">
      <c r="A3585" t="s">
        <v>6162</v>
      </c>
      <c r="B3585">
        <v>185129</v>
      </c>
    </row>
    <row r="3586" spans="1:2" x14ac:dyDescent="0.25">
      <c r="A3586" t="s">
        <v>6163</v>
      </c>
      <c r="B3586">
        <v>185828</v>
      </c>
    </row>
    <row r="3587" spans="1:2" x14ac:dyDescent="0.25">
      <c r="A3587" t="s">
        <v>6164</v>
      </c>
      <c r="B3587">
        <v>187897</v>
      </c>
    </row>
    <row r="3588" spans="1:2" x14ac:dyDescent="0.25">
      <c r="A3588" t="s">
        <v>6165</v>
      </c>
      <c r="B3588">
        <v>187967</v>
      </c>
    </row>
    <row r="3589" spans="1:2" x14ac:dyDescent="0.25">
      <c r="A3589" t="s">
        <v>6166</v>
      </c>
      <c r="B3589">
        <v>187903</v>
      </c>
    </row>
    <row r="3590" spans="1:2" x14ac:dyDescent="0.25">
      <c r="A3590" t="s">
        <v>6167</v>
      </c>
      <c r="B3590">
        <v>187912</v>
      </c>
    </row>
    <row r="3591" spans="1:2" x14ac:dyDescent="0.25">
      <c r="A3591" t="s">
        <v>6168</v>
      </c>
      <c r="B3591">
        <v>187994</v>
      </c>
    </row>
    <row r="3592" spans="1:2" x14ac:dyDescent="0.25">
      <c r="A3592" t="s">
        <v>6169</v>
      </c>
      <c r="B3592">
        <v>187620</v>
      </c>
    </row>
    <row r="3593" spans="1:2" x14ac:dyDescent="0.25">
      <c r="A3593" t="s">
        <v>6170</v>
      </c>
      <c r="B3593">
        <v>188021</v>
      </c>
    </row>
    <row r="3594" spans="1:2" x14ac:dyDescent="0.25">
      <c r="A3594" t="s">
        <v>6171</v>
      </c>
      <c r="B3594">
        <v>188030</v>
      </c>
    </row>
    <row r="3595" spans="1:2" x14ac:dyDescent="0.25">
      <c r="A3595" t="s">
        <v>6172</v>
      </c>
      <c r="B3595">
        <v>159948</v>
      </c>
    </row>
    <row r="3596" spans="1:2" x14ac:dyDescent="0.25">
      <c r="A3596" t="s">
        <v>6173</v>
      </c>
      <c r="B3596">
        <v>434469</v>
      </c>
    </row>
    <row r="3597" spans="1:2" x14ac:dyDescent="0.25">
      <c r="A3597" t="s">
        <v>6174</v>
      </c>
      <c r="B3597">
        <v>447582</v>
      </c>
    </row>
    <row r="3598" spans="1:2" x14ac:dyDescent="0.25">
      <c r="A3598" t="s">
        <v>6175</v>
      </c>
      <c r="B3598">
        <v>232867</v>
      </c>
    </row>
    <row r="3599" spans="1:2" x14ac:dyDescent="0.25">
      <c r="A3599" t="s">
        <v>6176</v>
      </c>
      <c r="B3599">
        <v>440396</v>
      </c>
    </row>
    <row r="3600" spans="1:2" x14ac:dyDescent="0.25">
      <c r="A3600" t="s">
        <v>6177</v>
      </c>
      <c r="B3600">
        <v>107442</v>
      </c>
    </row>
    <row r="3601" spans="1:2" x14ac:dyDescent="0.25">
      <c r="A3601" t="s">
        <v>6178</v>
      </c>
      <c r="B3601">
        <v>366368</v>
      </c>
    </row>
    <row r="3602" spans="1:2" x14ac:dyDescent="0.25">
      <c r="A3602" t="s">
        <v>6179</v>
      </c>
      <c r="B3602">
        <v>440262</v>
      </c>
    </row>
    <row r="3603" spans="1:2" x14ac:dyDescent="0.25">
      <c r="A3603" t="s">
        <v>6180</v>
      </c>
      <c r="B3603">
        <v>418126</v>
      </c>
    </row>
    <row r="3604" spans="1:2" x14ac:dyDescent="0.25">
      <c r="A3604" t="s">
        <v>6181</v>
      </c>
      <c r="B3604">
        <v>194073</v>
      </c>
    </row>
    <row r="3605" spans="1:2" x14ac:dyDescent="0.25">
      <c r="A3605" t="s">
        <v>6182</v>
      </c>
      <c r="B3605">
        <v>439783</v>
      </c>
    </row>
    <row r="3606" spans="1:2" x14ac:dyDescent="0.25">
      <c r="A3606" t="s">
        <v>6183</v>
      </c>
      <c r="B3606">
        <v>421841</v>
      </c>
    </row>
    <row r="3607" spans="1:2" x14ac:dyDescent="0.25">
      <c r="A3607" t="s">
        <v>6184</v>
      </c>
      <c r="B3607">
        <v>461148</v>
      </c>
    </row>
    <row r="3608" spans="1:2" x14ac:dyDescent="0.25">
      <c r="A3608" t="s">
        <v>6185</v>
      </c>
      <c r="B3608">
        <v>481243</v>
      </c>
    </row>
    <row r="3609" spans="1:2" x14ac:dyDescent="0.25">
      <c r="A3609" t="s">
        <v>6186</v>
      </c>
      <c r="B3609">
        <v>431071</v>
      </c>
    </row>
    <row r="3610" spans="1:2" x14ac:dyDescent="0.25">
      <c r="A3610" t="s">
        <v>6187</v>
      </c>
      <c r="B3610">
        <v>194091</v>
      </c>
    </row>
    <row r="3611" spans="1:2" x14ac:dyDescent="0.25">
      <c r="A3611" t="s">
        <v>6188</v>
      </c>
      <c r="B3611">
        <v>193821</v>
      </c>
    </row>
    <row r="3612" spans="1:2" x14ac:dyDescent="0.25">
      <c r="A3612" t="s">
        <v>6189</v>
      </c>
      <c r="B3612">
        <v>457800</v>
      </c>
    </row>
    <row r="3613" spans="1:2" x14ac:dyDescent="0.25">
      <c r="A3613" t="s">
        <v>6190</v>
      </c>
      <c r="B3613">
        <v>193830</v>
      </c>
    </row>
    <row r="3614" spans="1:2" x14ac:dyDescent="0.25">
      <c r="A3614" t="s">
        <v>6191</v>
      </c>
      <c r="B3614">
        <v>193858</v>
      </c>
    </row>
    <row r="3615" spans="1:2" x14ac:dyDescent="0.25">
      <c r="A3615" t="s">
        <v>6192</v>
      </c>
      <c r="B3615">
        <v>475404</v>
      </c>
    </row>
    <row r="3616" spans="1:2" x14ac:dyDescent="0.25">
      <c r="A3616" t="s">
        <v>6193</v>
      </c>
      <c r="B3616">
        <v>194116</v>
      </c>
    </row>
    <row r="3617" spans="1:2" x14ac:dyDescent="0.25">
      <c r="A3617" t="s">
        <v>6194</v>
      </c>
      <c r="B3617">
        <v>493798</v>
      </c>
    </row>
    <row r="3618" spans="1:2" x14ac:dyDescent="0.25">
      <c r="A3618" t="s">
        <v>6195</v>
      </c>
      <c r="B3618">
        <v>193894</v>
      </c>
    </row>
    <row r="3619" spans="1:2" x14ac:dyDescent="0.25">
      <c r="A3619" t="s">
        <v>6196</v>
      </c>
      <c r="B3619">
        <v>193900</v>
      </c>
    </row>
    <row r="3620" spans="1:2" x14ac:dyDescent="0.25">
      <c r="A3620" t="s">
        <v>6197</v>
      </c>
      <c r="B3620">
        <v>218414</v>
      </c>
    </row>
    <row r="3621" spans="1:2" x14ac:dyDescent="0.25">
      <c r="A3621" t="s">
        <v>6198</v>
      </c>
      <c r="B3621">
        <v>119845</v>
      </c>
    </row>
    <row r="3622" spans="1:2" x14ac:dyDescent="0.25">
      <c r="A3622" t="s">
        <v>6199</v>
      </c>
      <c r="B3622">
        <v>155335</v>
      </c>
    </row>
    <row r="3623" spans="1:2" x14ac:dyDescent="0.25">
      <c r="A3623" t="s">
        <v>6200</v>
      </c>
      <c r="B3623">
        <v>119775</v>
      </c>
    </row>
    <row r="3624" spans="1:2" x14ac:dyDescent="0.25">
      <c r="A3624" t="s">
        <v>6201</v>
      </c>
      <c r="B3624">
        <v>496803</v>
      </c>
    </row>
    <row r="3625" spans="1:2" x14ac:dyDescent="0.25">
      <c r="A3625" t="s">
        <v>6202</v>
      </c>
      <c r="B3625">
        <v>183099</v>
      </c>
    </row>
    <row r="3626" spans="1:2" x14ac:dyDescent="0.25">
      <c r="A3626" t="s">
        <v>6203</v>
      </c>
      <c r="B3626">
        <v>193946</v>
      </c>
    </row>
    <row r="3627" spans="1:2" x14ac:dyDescent="0.25">
      <c r="A3627" t="s">
        <v>6204</v>
      </c>
      <c r="B3627">
        <v>193973</v>
      </c>
    </row>
    <row r="3628" spans="1:2" x14ac:dyDescent="0.25">
      <c r="A3628" t="s">
        <v>6205</v>
      </c>
      <c r="B3628">
        <v>159966</v>
      </c>
    </row>
    <row r="3629" spans="1:2" x14ac:dyDescent="0.25">
      <c r="A3629" t="s">
        <v>6206</v>
      </c>
      <c r="B3629">
        <v>167260</v>
      </c>
    </row>
    <row r="3630" spans="1:2" x14ac:dyDescent="0.25">
      <c r="A3630" t="s">
        <v>6207</v>
      </c>
      <c r="B3630">
        <v>239442</v>
      </c>
    </row>
    <row r="3631" spans="1:2" x14ac:dyDescent="0.25">
      <c r="A3631" t="s">
        <v>6208</v>
      </c>
      <c r="B3631">
        <v>444787</v>
      </c>
    </row>
    <row r="3632" spans="1:2" x14ac:dyDescent="0.25">
      <c r="A3632" t="s">
        <v>6209</v>
      </c>
      <c r="B3632">
        <v>492421</v>
      </c>
    </row>
    <row r="3633" spans="1:2" x14ac:dyDescent="0.25">
      <c r="A3633" t="s">
        <v>6210</v>
      </c>
      <c r="B3633">
        <v>460464</v>
      </c>
    </row>
    <row r="3634" spans="1:2" x14ac:dyDescent="0.25">
      <c r="A3634" t="s">
        <v>6211</v>
      </c>
      <c r="B3634">
        <v>232937</v>
      </c>
    </row>
    <row r="3635" spans="1:2" x14ac:dyDescent="0.25">
      <c r="A3635" t="s">
        <v>6212</v>
      </c>
      <c r="B3635">
        <v>174428</v>
      </c>
    </row>
    <row r="3636" spans="1:2" x14ac:dyDescent="0.25">
      <c r="A3636" t="s">
        <v>6213</v>
      </c>
      <c r="B3636">
        <v>119951</v>
      </c>
    </row>
    <row r="3637" spans="1:2" x14ac:dyDescent="0.25">
      <c r="A3637" t="s">
        <v>6214</v>
      </c>
      <c r="B3637">
        <v>162371</v>
      </c>
    </row>
    <row r="3638" spans="1:2" x14ac:dyDescent="0.25">
      <c r="A3638" t="s">
        <v>6215</v>
      </c>
      <c r="B3638">
        <v>461795</v>
      </c>
    </row>
    <row r="3639" spans="1:2" x14ac:dyDescent="0.25">
      <c r="A3639" t="s">
        <v>6216</v>
      </c>
      <c r="B3639">
        <v>107460</v>
      </c>
    </row>
    <row r="3640" spans="1:2" x14ac:dyDescent="0.25">
      <c r="A3640" t="s">
        <v>6217</v>
      </c>
      <c r="B3640">
        <v>167297</v>
      </c>
    </row>
    <row r="3641" spans="1:2" x14ac:dyDescent="0.25">
      <c r="A3641" t="s">
        <v>6218</v>
      </c>
      <c r="B3641">
        <v>199102</v>
      </c>
    </row>
    <row r="3642" spans="1:2" x14ac:dyDescent="0.25">
      <c r="A3642" t="s">
        <v>6219</v>
      </c>
      <c r="B3642">
        <v>199157</v>
      </c>
    </row>
    <row r="3643" spans="1:2" x14ac:dyDescent="0.25">
      <c r="A3643" t="s">
        <v>6220</v>
      </c>
      <c r="B3643">
        <v>199193</v>
      </c>
    </row>
    <row r="3644" spans="1:2" x14ac:dyDescent="0.25">
      <c r="A3644" t="s">
        <v>6221</v>
      </c>
      <c r="B3644">
        <v>199209</v>
      </c>
    </row>
    <row r="3645" spans="1:2" x14ac:dyDescent="0.25">
      <c r="A3645" t="s">
        <v>6222</v>
      </c>
      <c r="B3645">
        <v>147660</v>
      </c>
    </row>
    <row r="3646" spans="1:2" x14ac:dyDescent="0.25">
      <c r="A3646" t="s">
        <v>6223</v>
      </c>
      <c r="B3646">
        <v>418889</v>
      </c>
    </row>
    <row r="3647" spans="1:2" x14ac:dyDescent="0.25">
      <c r="A3647" t="s">
        <v>6224</v>
      </c>
      <c r="B3647">
        <v>155593</v>
      </c>
    </row>
    <row r="3648" spans="1:2" x14ac:dyDescent="0.25">
      <c r="A3648" t="s">
        <v>6225</v>
      </c>
      <c r="B3648">
        <v>171395</v>
      </c>
    </row>
    <row r="3649" spans="1:2" x14ac:dyDescent="0.25">
      <c r="A3649" t="s">
        <v>6226</v>
      </c>
      <c r="B3649">
        <v>179715</v>
      </c>
    </row>
    <row r="3650" spans="1:2" x14ac:dyDescent="0.25">
      <c r="A3650" t="s">
        <v>6227</v>
      </c>
      <c r="B3650">
        <v>204422</v>
      </c>
    </row>
    <row r="3651" spans="1:2" x14ac:dyDescent="0.25">
      <c r="A3651" t="s">
        <v>6228</v>
      </c>
      <c r="B3651">
        <v>224110</v>
      </c>
    </row>
    <row r="3652" spans="1:2" x14ac:dyDescent="0.25">
      <c r="A3652" t="s">
        <v>6229</v>
      </c>
      <c r="B3652">
        <v>174437</v>
      </c>
    </row>
    <row r="3653" spans="1:2" x14ac:dyDescent="0.25">
      <c r="A3653" t="s">
        <v>6230</v>
      </c>
      <c r="B3653">
        <v>194028</v>
      </c>
    </row>
    <row r="3654" spans="1:2" x14ac:dyDescent="0.25">
      <c r="A3654" t="s">
        <v>6231</v>
      </c>
      <c r="B3654">
        <v>200305</v>
      </c>
    </row>
    <row r="3655" spans="1:2" x14ac:dyDescent="0.25">
      <c r="A3655" t="s">
        <v>6232</v>
      </c>
      <c r="B3655">
        <v>200332</v>
      </c>
    </row>
    <row r="3656" spans="1:2" x14ac:dyDescent="0.25">
      <c r="A3656" t="s">
        <v>6233</v>
      </c>
      <c r="B3656">
        <v>136145</v>
      </c>
    </row>
    <row r="3657" spans="1:2" x14ac:dyDescent="0.25">
      <c r="A3657" t="s">
        <v>6234</v>
      </c>
      <c r="B3657">
        <v>447892</v>
      </c>
    </row>
    <row r="3658" spans="1:2" x14ac:dyDescent="0.25">
      <c r="A3658" t="s">
        <v>6235</v>
      </c>
      <c r="B3658">
        <v>132675</v>
      </c>
    </row>
    <row r="3659" spans="1:2" x14ac:dyDescent="0.25">
      <c r="A3659" t="s">
        <v>6236</v>
      </c>
      <c r="B3659">
        <v>140678</v>
      </c>
    </row>
    <row r="3660" spans="1:2" x14ac:dyDescent="0.25">
      <c r="A3660" t="s">
        <v>6237</v>
      </c>
      <c r="B3660">
        <v>218441</v>
      </c>
    </row>
    <row r="3661" spans="1:2" x14ac:dyDescent="0.25">
      <c r="A3661" t="s">
        <v>6238</v>
      </c>
      <c r="B3661">
        <v>174376</v>
      </c>
    </row>
    <row r="3662" spans="1:2" x14ac:dyDescent="0.25">
      <c r="A3662" t="s">
        <v>6239</v>
      </c>
      <c r="B3662">
        <v>142443</v>
      </c>
    </row>
    <row r="3663" spans="1:2" x14ac:dyDescent="0.25">
      <c r="A3663" t="s">
        <v>6240</v>
      </c>
      <c r="B3663">
        <v>154059</v>
      </c>
    </row>
    <row r="3664" spans="1:2" x14ac:dyDescent="0.25">
      <c r="A3664" t="s">
        <v>6241</v>
      </c>
      <c r="B3664">
        <v>120023</v>
      </c>
    </row>
    <row r="3665" spans="1:2" x14ac:dyDescent="0.25">
      <c r="A3665" t="s">
        <v>6242</v>
      </c>
      <c r="B3665">
        <v>147679</v>
      </c>
    </row>
    <row r="3666" spans="1:2" x14ac:dyDescent="0.25">
      <c r="A3666" t="s">
        <v>6243</v>
      </c>
      <c r="B3666">
        <v>236072</v>
      </c>
    </row>
    <row r="3667" spans="1:2" x14ac:dyDescent="0.25">
      <c r="A3667" t="s">
        <v>6244</v>
      </c>
      <c r="B3667">
        <v>167312</v>
      </c>
    </row>
    <row r="3668" spans="1:2" x14ac:dyDescent="0.25">
      <c r="A3668" t="s">
        <v>6245</v>
      </c>
      <c r="B3668">
        <v>214379</v>
      </c>
    </row>
    <row r="3669" spans="1:2" x14ac:dyDescent="0.25">
      <c r="A3669" t="s">
        <v>6246</v>
      </c>
      <c r="B3669">
        <v>239460</v>
      </c>
    </row>
    <row r="3670" spans="1:2" x14ac:dyDescent="0.25">
      <c r="A3670" t="s">
        <v>6247</v>
      </c>
      <c r="B3670">
        <v>444130</v>
      </c>
    </row>
    <row r="3671" spans="1:2" x14ac:dyDescent="0.25">
      <c r="A3671" t="s">
        <v>6248</v>
      </c>
      <c r="B3671">
        <v>449719</v>
      </c>
    </row>
    <row r="3672" spans="1:2" x14ac:dyDescent="0.25">
      <c r="A3672" t="s">
        <v>6249</v>
      </c>
      <c r="B3672">
        <v>101897</v>
      </c>
    </row>
    <row r="3673" spans="1:2" x14ac:dyDescent="0.25">
      <c r="A3673" t="s">
        <v>6250</v>
      </c>
      <c r="B3673">
        <v>193751</v>
      </c>
    </row>
    <row r="3674" spans="1:2" x14ac:dyDescent="0.25">
      <c r="A3674" t="s">
        <v>6251</v>
      </c>
      <c r="B3674">
        <v>181491</v>
      </c>
    </row>
    <row r="3675" spans="1:2" x14ac:dyDescent="0.25">
      <c r="A3675" t="s">
        <v>6252</v>
      </c>
      <c r="B3675">
        <v>154110</v>
      </c>
    </row>
    <row r="3676" spans="1:2" x14ac:dyDescent="0.25">
      <c r="A3676" t="s">
        <v>6253</v>
      </c>
      <c r="B3676">
        <v>488730</v>
      </c>
    </row>
    <row r="3677" spans="1:2" x14ac:dyDescent="0.25">
      <c r="A3677" t="s">
        <v>6254</v>
      </c>
      <c r="B3677">
        <v>176169</v>
      </c>
    </row>
    <row r="3678" spans="1:2" x14ac:dyDescent="0.25">
      <c r="A3678" t="s">
        <v>6255</v>
      </c>
      <c r="B3678">
        <v>204477</v>
      </c>
    </row>
    <row r="3679" spans="1:2" x14ac:dyDescent="0.25">
      <c r="A3679" t="s">
        <v>6256</v>
      </c>
      <c r="B3679">
        <v>221908</v>
      </c>
    </row>
    <row r="3680" spans="1:2" x14ac:dyDescent="0.25">
      <c r="A3680" t="s">
        <v>6257</v>
      </c>
      <c r="B3680">
        <v>461962</v>
      </c>
    </row>
    <row r="3681" spans="1:2" x14ac:dyDescent="0.25">
      <c r="A3681" t="s">
        <v>6258</v>
      </c>
      <c r="B3681">
        <v>461087</v>
      </c>
    </row>
    <row r="3682" spans="1:2" x14ac:dyDescent="0.25">
      <c r="A3682" t="s">
        <v>6259</v>
      </c>
      <c r="B3682">
        <v>227225</v>
      </c>
    </row>
    <row r="3683" spans="1:2" x14ac:dyDescent="0.25">
      <c r="A3683" t="s">
        <v>6260</v>
      </c>
      <c r="B3683">
        <v>239488</v>
      </c>
    </row>
    <row r="3684" spans="1:2" x14ac:dyDescent="0.25">
      <c r="A3684" t="s">
        <v>6261</v>
      </c>
      <c r="B3684">
        <v>147776</v>
      </c>
    </row>
    <row r="3685" spans="1:2" x14ac:dyDescent="0.25">
      <c r="A3685" t="s">
        <v>6262</v>
      </c>
      <c r="B3685">
        <v>127732</v>
      </c>
    </row>
    <row r="3686" spans="1:2" x14ac:dyDescent="0.25">
      <c r="A3686" t="s">
        <v>6263</v>
      </c>
      <c r="B3686">
        <v>207290</v>
      </c>
    </row>
    <row r="3687" spans="1:2" x14ac:dyDescent="0.25">
      <c r="A3687" t="s">
        <v>6264</v>
      </c>
      <c r="B3687">
        <v>439817</v>
      </c>
    </row>
    <row r="3688" spans="1:2" x14ac:dyDescent="0.25">
      <c r="A3688" t="s">
        <v>6265</v>
      </c>
      <c r="B3688">
        <v>207263</v>
      </c>
    </row>
    <row r="3689" spans="1:2" x14ac:dyDescent="0.25">
      <c r="A3689" t="s">
        <v>6266</v>
      </c>
      <c r="B3689">
        <v>217837</v>
      </c>
    </row>
    <row r="3690" spans="1:2" x14ac:dyDescent="0.25">
      <c r="A3690" t="s">
        <v>6267</v>
      </c>
      <c r="B3690">
        <v>167358</v>
      </c>
    </row>
    <row r="3691" spans="1:2" x14ac:dyDescent="0.25">
      <c r="A3691" t="s">
        <v>6268</v>
      </c>
      <c r="B3691">
        <v>482705</v>
      </c>
    </row>
    <row r="3692" spans="1:2" x14ac:dyDescent="0.25">
      <c r="A3692" t="s">
        <v>6269</v>
      </c>
      <c r="B3692">
        <v>105330</v>
      </c>
    </row>
    <row r="3693" spans="1:2" x14ac:dyDescent="0.25">
      <c r="A3693" t="s">
        <v>6270</v>
      </c>
      <c r="B3693">
        <v>147697</v>
      </c>
    </row>
    <row r="3694" spans="1:2" x14ac:dyDescent="0.25">
      <c r="A3694" t="s">
        <v>6271</v>
      </c>
      <c r="B3694">
        <v>418223</v>
      </c>
    </row>
    <row r="3695" spans="1:2" x14ac:dyDescent="0.25">
      <c r="A3695" t="s">
        <v>6272</v>
      </c>
      <c r="B3695">
        <v>167376</v>
      </c>
    </row>
    <row r="3696" spans="1:2" x14ac:dyDescent="0.25">
      <c r="A3696" t="s">
        <v>6273</v>
      </c>
      <c r="B3696">
        <v>147703</v>
      </c>
    </row>
    <row r="3697" spans="1:2" x14ac:dyDescent="0.25">
      <c r="A3697" t="s">
        <v>6274</v>
      </c>
      <c r="B3697">
        <v>204431</v>
      </c>
    </row>
    <row r="3698" spans="1:2" x14ac:dyDescent="0.25">
      <c r="A3698" t="s">
        <v>6275</v>
      </c>
      <c r="B3698">
        <v>157447</v>
      </c>
    </row>
    <row r="3699" spans="1:2" x14ac:dyDescent="0.25">
      <c r="A3699" t="s">
        <v>6276</v>
      </c>
      <c r="B3699">
        <v>161484</v>
      </c>
    </row>
    <row r="3700" spans="1:2" x14ac:dyDescent="0.25">
      <c r="A3700" t="s">
        <v>6277</v>
      </c>
      <c r="B3700">
        <v>240790</v>
      </c>
    </row>
    <row r="3701" spans="1:2" x14ac:dyDescent="0.25">
      <c r="A3701" t="s">
        <v>6278</v>
      </c>
      <c r="B3701">
        <v>171456</v>
      </c>
    </row>
    <row r="3702" spans="1:2" x14ac:dyDescent="0.25">
      <c r="A3702" t="s">
        <v>6279</v>
      </c>
      <c r="B3702">
        <v>188058</v>
      </c>
    </row>
    <row r="3703" spans="1:2" x14ac:dyDescent="0.25">
      <c r="A3703" t="s">
        <v>6280</v>
      </c>
      <c r="B3703">
        <v>207281</v>
      </c>
    </row>
    <row r="3704" spans="1:2" x14ac:dyDescent="0.25">
      <c r="A3704" t="s">
        <v>6281</v>
      </c>
      <c r="B3704">
        <v>494959</v>
      </c>
    </row>
    <row r="3705" spans="1:2" x14ac:dyDescent="0.25">
      <c r="A3705" t="s">
        <v>6282</v>
      </c>
      <c r="B3705">
        <v>219259</v>
      </c>
    </row>
    <row r="3706" spans="1:2" x14ac:dyDescent="0.25">
      <c r="A3706" t="s">
        <v>6283</v>
      </c>
      <c r="B3706">
        <v>490744</v>
      </c>
    </row>
    <row r="3707" spans="1:2" x14ac:dyDescent="0.25">
      <c r="A3707" t="s">
        <v>6284</v>
      </c>
      <c r="B3707">
        <v>418588</v>
      </c>
    </row>
    <row r="3708" spans="1:2" x14ac:dyDescent="0.25">
      <c r="A3708" t="s">
        <v>6285</v>
      </c>
      <c r="B3708">
        <v>230913</v>
      </c>
    </row>
    <row r="3709" spans="1:2" x14ac:dyDescent="0.25">
      <c r="A3709" t="s">
        <v>6286</v>
      </c>
      <c r="B3709">
        <v>232946</v>
      </c>
    </row>
    <row r="3710" spans="1:2" x14ac:dyDescent="0.25">
      <c r="A3710" t="s">
        <v>6287</v>
      </c>
      <c r="B3710">
        <v>461412</v>
      </c>
    </row>
    <row r="3711" spans="1:2" x14ac:dyDescent="0.25">
      <c r="A3711" t="s">
        <v>6288</v>
      </c>
      <c r="B3711">
        <v>240666</v>
      </c>
    </row>
    <row r="3712" spans="1:2" x14ac:dyDescent="0.25">
      <c r="A3712" t="s">
        <v>6289</v>
      </c>
      <c r="B3712">
        <v>239512</v>
      </c>
    </row>
    <row r="3713" spans="1:2" x14ac:dyDescent="0.25">
      <c r="A3713" t="s">
        <v>6290</v>
      </c>
      <c r="B3713">
        <v>174473</v>
      </c>
    </row>
    <row r="3714" spans="1:2" x14ac:dyDescent="0.25">
      <c r="A3714" t="s">
        <v>6291</v>
      </c>
      <c r="B3714">
        <v>105349</v>
      </c>
    </row>
    <row r="3715" spans="1:2" x14ac:dyDescent="0.25">
      <c r="A3715" t="s">
        <v>6292</v>
      </c>
      <c r="B3715">
        <v>217606</v>
      </c>
    </row>
    <row r="3716" spans="1:2" x14ac:dyDescent="0.25">
      <c r="A3716" t="s">
        <v>6293</v>
      </c>
      <c r="B3716">
        <v>160667</v>
      </c>
    </row>
    <row r="3717" spans="1:2" x14ac:dyDescent="0.25">
      <c r="A3717" t="s">
        <v>6294</v>
      </c>
      <c r="B3717">
        <v>443030</v>
      </c>
    </row>
    <row r="3718" spans="1:2" x14ac:dyDescent="0.25">
      <c r="A3718" t="s">
        <v>6295</v>
      </c>
      <c r="B3718">
        <v>367459</v>
      </c>
    </row>
    <row r="3719" spans="1:2" x14ac:dyDescent="0.25">
      <c r="A3719" t="s">
        <v>6296</v>
      </c>
      <c r="B3719">
        <v>445948</v>
      </c>
    </row>
    <row r="3720" spans="1:2" x14ac:dyDescent="0.25">
      <c r="A3720" t="s">
        <v>6297</v>
      </c>
      <c r="B3720">
        <v>240657</v>
      </c>
    </row>
    <row r="3721" spans="1:2" x14ac:dyDescent="0.25">
      <c r="A3721" t="s">
        <v>6298</v>
      </c>
      <c r="B3721">
        <v>377546</v>
      </c>
    </row>
    <row r="3722" spans="1:2" x14ac:dyDescent="0.25">
      <c r="A3722" t="s">
        <v>6299</v>
      </c>
      <c r="B3722">
        <v>484367</v>
      </c>
    </row>
    <row r="3723" spans="1:2" x14ac:dyDescent="0.25">
      <c r="A3723" t="s">
        <v>6300</v>
      </c>
      <c r="B3723">
        <v>209083</v>
      </c>
    </row>
    <row r="3724" spans="1:2" x14ac:dyDescent="0.25">
      <c r="A3724" t="s">
        <v>6301</v>
      </c>
      <c r="B3724">
        <v>209205</v>
      </c>
    </row>
    <row r="3725" spans="1:2" x14ac:dyDescent="0.25">
      <c r="A3725" t="s">
        <v>6302</v>
      </c>
      <c r="B3725">
        <v>468246</v>
      </c>
    </row>
    <row r="3726" spans="1:2" x14ac:dyDescent="0.25">
      <c r="A3726" t="s">
        <v>6303</v>
      </c>
      <c r="B3726">
        <v>372028</v>
      </c>
    </row>
    <row r="3727" spans="1:2" x14ac:dyDescent="0.25">
      <c r="A3727" t="s">
        <v>6304</v>
      </c>
      <c r="B3727">
        <v>441168</v>
      </c>
    </row>
    <row r="3728" spans="1:2" x14ac:dyDescent="0.25">
      <c r="A3728" t="s">
        <v>6305</v>
      </c>
      <c r="B3728">
        <v>484376</v>
      </c>
    </row>
    <row r="3729" spans="1:2" x14ac:dyDescent="0.25">
      <c r="A3729" t="s">
        <v>6306</v>
      </c>
      <c r="B3729">
        <v>484950</v>
      </c>
    </row>
    <row r="3730" spans="1:2" x14ac:dyDescent="0.25">
      <c r="A3730" t="s">
        <v>6307</v>
      </c>
      <c r="B3730">
        <v>120069</v>
      </c>
    </row>
    <row r="3731" spans="1:2" x14ac:dyDescent="0.25">
      <c r="A3731" t="s">
        <v>6308</v>
      </c>
      <c r="B3731">
        <v>445364</v>
      </c>
    </row>
    <row r="3732" spans="1:2" x14ac:dyDescent="0.25">
      <c r="A3732" t="s">
        <v>6309</v>
      </c>
      <c r="B3732">
        <v>494746</v>
      </c>
    </row>
    <row r="3733" spans="1:2" x14ac:dyDescent="0.25">
      <c r="A3733" t="s">
        <v>6310</v>
      </c>
      <c r="B3733">
        <v>468255</v>
      </c>
    </row>
    <row r="3734" spans="1:2" x14ac:dyDescent="0.25">
      <c r="A3734" t="s">
        <v>6311</v>
      </c>
      <c r="B3734">
        <v>120087</v>
      </c>
    </row>
    <row r="3735" spans="1:2" x14ac:dyDescent="0.25">
      <c r="A3735" t="s">
        <v>6312</v>
      </c>
      <c r="B3735">
        <v>120078</v>
      </c>
    </row>
    <row r="3736" spans="1:2" x14ac:dyDescent="0.25">
      <c r="A3736" t="s">
        <v>6313</v>
      </c>
      <c r="B3736">
        <v>369686</v>
      </c>
    </row>
    <row r="3737" spans="1:2" x14ac:dyDescent="0.25">
      <c r="A3737" t="s">
        <v>6314</v>
      </c>
      <c r="B3737">
        <v>136233</v>
      </c>
    </row>
    <row r="3738" spans="1:2" x14ac:dyDescent="0.25">
      <c r="A3738" t="s">
        <v>6315</v>
      </c>
      <c r="B3738">
        <v>434362</v>
      </c>
    </row>
    <row r="3739" spans="1:2" x14ac:dyDescent="0.25">
      <c r="A3739" t="s">
        <v>6316</v>
      </c>
      <c r="B3739">
        <v>380377</v>
      </c>
    </row>
    <row r="3740" spans="1:2" x14ac:dyDescent="0.25">
      <c r="A3740" t="s">
        <v>6317</v>
      </c>
      <c r="B3740">
        <v>154129</v>
      </c>
    </row>
    <row r="3741" spans="1:2" x14ac:dyDescent="0.25">
      <c r="A3741" t="s">
        <v>6318</v>
      </c>
      <c r="B3741">
        <v>155618</v>
      </c>
    </row>
    <row r="3742" spans="1:2" x14ac:dyDescent="0.25">
      <c r="A3742" t="s">
        <v>6319</v>
      </c>
      <c r="B3742">
        <v>160010</v>
      </c>
    </row>
    <row r="3743" spans="1:2" x14ac:dyDescent="0.25">
      <c r="A3743" t="s">
        <v>6320</v>
      </c>
      <c r="B3743">
        <v>176178</v>
      </c>
    </row>
    <row r="3744" spans="1:2" x14ac:dyDescent="0.25">
      <c r="A3744" t="s">
        <v>6321</v>
      </c>
      <c r="B3744">
        <v>178624</v>
      </c>
    </row>
    <row r="3745" spans="1:2" x14ac:dyDescent="0.25">
      <c r="A3745" t="s">
        <v>6322</v>
      </c>
      <c r="B3745">
        <v>142461</v>
      </c>
    </row>
    <row r="3746" spans="1:2" x14ac:dyDescent="0.25">
      <c r="A3746" t="s">
        <v>6323</v>
      </c>
      <c r="B3746">
        <v>458140</v>
      </c>
    </row>
    <row r="3747" spans="1:2" x14ac:dyDescent="0.25">
      <c r="A3747" t="s">
        <v>6324</v>
      </c>
      <c r="B3747">
        <v>204440</v>
      </c>
    </row>
    <row r="3748" spans="1:2" x14ac:dyDescent="0.25">
      <c r="A3748" t="s">
        <v>6325</v>
      </c>
      <c r="B3748">
        <v>173115</v>
      </c>
    </row>
    <row r="3749" spans="1:2" x14ac:dyDescent="0.25">
      <c r="A3749" t="s">
        <v>6326</v>
      </c>
      <c r="B3749">
        <v>107488</v>
      </c>
    </row>
    <row r="3750" spans="1:2" x14ac:dyDescent="0.25">
      <c r="A3750" t="s">
        <v>6327</v>
      </c>
      <c r="B3750">
        <v>366623</v>
      </c>
    </row>
    <row r="3751" spans="1:2" x14ac:dyDescent="0.25">
      <c r="A3751" t="s">
        <v>6328</v>
      </c>
      <c r="B3751">
        <v>236133</v>
      </c>
    </row>
    <row r="3752" spans="1:2" x14ac:dyDescent="0.25">
      <c r="A3752" t="s">
        <v>6329</v>
      </c>
      <c r="B3752">
        <v>487603</v>
      </c>
    </row>
    <row r="3753" spans="1:2" x14ac:dyDescent="0.25">
      <c r="A3753" t="s">
        <v>6330</v>
      </c>
      <c r="B3753">
        <v>420398</v>
      </c>
    </row>
    <row r="3754" spans="1:2" x14ac:dyDescent="0.25">
      <c r="A3754" t="s">
        <v>6331</v>
      </c>
      <c r="B3754">
        <v>154101</v>
      </c>
    </row>
    <row r="3755" spans="1:2" x14ac:dyDescent="0.25">
      <c r="A3755" t="s">
        <v>6331</v>
      </c>
      <c r="B3755">
        <v>260992</v>
      </c>
    </row>
    <row r="3756" spans="1:2" x14ac:dyDescent="0.25">
      <c r="A3756" t="s">
        <v>6332</v>
      </c>
      <c r="B3756">
        <v>130040</v>
      </c>
    </row>
    <row r="3757" spans="1:2" x14ac:dyDescent="0.25">
      <c r="A3757" t="s">
        <v>6333</v>
      </c>
      <c r="B3757">
        <v>174507</v>
      </c>
    </row>
    <row r="3758" spans="1:2" x14ac:dyDescent="0.25">
      <c r="A3758" t="s">
        <v>6334</v>
      </c>
      <c r="B3758">
        <v>171483</v>
      </c>
    </row>
    <row r="3759" spans="1:2" x14ac:dyDescent="0.25">
      <c r="A3759" t="s">
        <v>6335</v>
      </c>
      <c r="B3759">
        <v>207306</v>
      </c>
    </row>
    <row r="3760" spans="1:2" x14ac:dyDescent="0.25">
      <c r="A3760" t="s">
        <v>6336</v>
      </c>
      <c r="B3760">
        <v>160038</v>
      </c>
    </row>
    <row r="3761" spans="1:2" x14ac:dyDescent="0.25">
      <c r="A3761" t="s">
        <v>6337</v>
      </c>
      <c r="B3761">
        <v>168573</v>
      </c>
    </row>
    <row r="3762" spans="1:2" x14ac:dyDescent="0.25">
      <c r="A3762" t="s">
        <v>6338</v>
      </c>
      <c r="B3762">
        <v>147767</v>
      </c>
    </row>
    <row r="3763" spans="1:2" x14ac:dyDescent="0.25">
      <c r="A3763" t="s">
        <v>6339</v>
      </c>
      <c r="B3763">
        <v>101736</v>
      </c>
    </row>
    <row r="3764" spans="1:2" x14ac:dyDescent="0.25">
      <c r="A3764" t="s">
        <v>6340</v>
      </c>
      <c r="B3764">
        <v>240198</v>
      </c>
    </row>
    <row r="3765" spans="1:2" x14ac:dyDescent="0.25">
      <c r="A3765" t="s">
        <v>6341</v>
      </c>
      <c r="B3765">
        <v>171492</v>
      </c>
    </row>
    <row r="3766" spans="1:2" x14ac:dyDescent="0.25">
      <c r="A3766" t="s">
        <v>6342</v>
      </c>
      <c r="B3766">
        <v>130004</v>
      </c>
    </row>
    <row r="3767" spans="1:2" x14ac:dyDescent="0.25">
      <c r="A3767" t="s">
        <v>6343</v>
      </c>
      <c r="B3767">
        <v>230995</v>
      </c>
    </row>
    <row r="3768" spans="1:2" x14ac:dyDescent="0.25">
      <c r="A3768" t="s">
        <v>6344</v>
      </c>
      <c r="B3768">
        <v>368452</v>
      </c>
    </row>
    <row r="3769" spans="1:2" x14ac:dyDescent="0.25">
      <c r="A3769" t="s">
        <v>6345</v>
      </c>
      <c r="B3769">
        <v>204468</v>
      </c>
    </row>
    <row r="3770" spans="1:2" x14ac:dyDescent="0.25">
      <c r="A3770" t="s">
        <v>6346</v>
      </c>
      <c r="B3770">
        <v>120184</v>
      </c>
    </row>
    <row r="3771" spans="1:2" x14ac:dyDescent="0.25">
      <c r="A3771" t="s">
        <v>6347</v>
      </c>
      <c r="B3771">
        <v>163578</v>
      </c>
    </row>
    <row r="3772" spans="1:2" x14ac:dyDescent="0.25">
      <c r="A3772" t="s">
        <v>6348</v>
      </c>
      <c r="B3772">
        <v>409032</v>
      </c>
    </row>
    <row r="3773" spans="1:2" x14ac:dyDescent="0.25">
      <c r="A3773" t="s">
        <v>6349</v>
      </c>
      <c r="B3773">
        <v>459426</v>
      </c>
    </row>
    <row r="3774" spans="1:2" x14ac:dyDescent="0.25">
      <c r="A3774" t="s">
        <v>6350</v>
      </c>
      <c r="B3774">
        <v>428055</v>
      </c>
    </row>
    <row r="3775" spans="1:2" x14ac:dyDescent="0.25">
      <c r="A3775" t="s">
        <v>6351</v>
      </c>
      <c r="B3775">
        <v>136215</v>
      </c>
    </row>
    <row r="3776" spans="1:2" x14ac:dyDescent="0.25">
      <c r="A3776" t="s">
        <v>6352</v>
      </c>
      <c r="B3776">
        <v>443207</v>
      </c>
    </row>
    <row r="3777" spans="1:2" x14ac:dyDescent="0.25">
      <c r="A3777" t="s">
        <v>6353</v>
      </c>
      <c r="B3777">
        <v>242972</v>
      </c>
    </row>
    <row r="3778" spans="1:2" x14ac:dyDescent="0.25">
      <c r="A3778" t="s">
        <v>8831</v>
      </c>
      <c r="B3778">
        <v>497019</v>
      </c>
    </row>
    <row r="3779" spans="1:2" x14ac:dyDescent="0.25">
      <c r="A3779" t="s">
        <v>6354</v>
      </c>
      <c r="B3779">
        <v>200086</v>
      </c>
    </row>
    <row r="3780" spans="1:2" x14ac:dyDescent="0.25">
      <c r="A3780" t="s">
        <v>6355</v>
      </c>
      <c r="B3780">
        <v>158884</v>
      </c>
    </row>
    <row r="3781" spans="1:2" x14ac:dyDescent="0.25">
      <c r="A3781" t="s">
        <v>6356</v>
      </c>
      <c r="B3781">
        <v>377272</v>
      </c>
    </row>
    <row r="3782" spans="1:2" x14ac:dyDescent="0.25">
      <c r="A3782" t="s">
        <v>6356</v>
      </c>
      <c r="B3782">
        <v>377281</v>
      </c>
    </row>
    <row r="3783" spans="1:2" x14ac:dyDescent="0.25">
      <c r="A3783" t="s">
        <v>6357</v>
      </c>
      <c r="B3783">
        <v>447980</v>
      </c>
    </row>
    <row r="3784" spans="1:2" x14ac:dyDescent="0.25">
      <c r="A3784" t="s">
        <v>6358</v>
      </c>
      <c r="B3784">
        <v>194161</v>
      </c>
    </row>
    <row r="3785" spans="1:2" x14ac:dyDescent="0.25">
      <c r="A3785" t="s">
        <v>6359</v>
      </c>
      <c r="B3785">
        <v>203614</v>
      </c>
    </row>
    <row r="3786" spans="1:2" x14ac:dyDescent="0.25">
      <c r="A3786" t="s">
        <v>6360</v>
      </c>
      <c r="B3786">
        <v>174525</v>
      </c>
    </row>
    <row r="3787" spans="1:2" x14ac:dyDescent="0.25">
      <c r="A3787" t="s">
        <v>6361</v>
      </c>
      <c r="B3787">
        <v>149763</v>
      </c>
    </row>
    <row r="3788" spans="1:2" x14ac:dyDescent="0.25">
      <c r="A3788" t="s">
        <v>6362</v>
      </c>
      <c r="B3788">
        <v>495059</v>
      </c>
    </row>
    <row r="3789" spans="1:2" x14ac:dyDescent="0.25">
      <c r="A3789" t="s">
        <v>6363</v>
      </c>
      <c r="B3789">
        <v>152099</v>
      </c>
    </row>
    <row r="3790" spans="1:2" x14ac:dyDescent="0.25">
      <c r="A3790" t="s">
        <v>6364</v>
      </c>
      <c r="B3790">
        <v>171535</v>
      </c>
    </row>
    <row r="3791" spans="1:2" x14ac:dyDescent="0.25">
      <c r="A3791" t="s">
        <v>6365</v>
      </c>
      <c r="B3791">
        <v>171571</v>
      </c>
    </row>
    <row r="3792" spans="1:2" x14ac:dyDescent="0.25">
      <c r="A3792" t="s">
        <v>6366</v>
      </c>
      <c r="B3792">
        <v>147800</v>
      </c>
    </row>
    <row r="3793" spans="1:2" x14ac:dyDescent="0.25">
      <c r="A3793" t="s">
        <v>6367</v>
      </c>
      <c r="B3793">
        <v>101912</v>
      </c>
    </row>
    <row r="3794" spans="1:2" x14ac:dyDescent="0.25">
      <c r="A3794" t="s">
        <v>6368</v>
      </c>
      <c r="B3794">
        <v>204501</v>
      </c>
    </row>
    <row r="3795" spans="1:2" x14ac:dyDescent="0.25">
      <c r="A3795" t="s">
        <v>6369</v>
      </c>
      <c r="B3795">
        <v>227289</v>
      </c>
    </row>
    <row r="3796" spans="1:2" x14ac:dyDescent="0.25">
      <c r="A3796" t="s">
        <v>6370</v>
      </c>
      <c r="B3796">
        <v>231004</v>
      </c>
    </row>
    <row r="3797" spans="1:2" x14ac:dyDescent="0.25">
      <c r="A3797" t="s">
        <v>6371</v>
      </c>
      <c r="B3797">
        <v>120254</v>
      </c>
    </row>
    <row r="3798" spans="1:2" x14ac:dyDescent="0.25">
      <c r="A3798" t="s">
        <v>6372</v>
      </c>
      <c r="B3798">
        <v>227298</v>
      </c>
    </row>
    <row r="3799" spans="1:2" x14ac:dyDescent="0.25">
      <c r="A3799" t="s">
        <v>6373</v>
      </c>
      <c r="B3799">
        <v>185873</v>
      </c>
    </row>
    <row r="3800" spans="1:2" x14ac:dyDescent="0.25">
      <c r="A3800" t="s">
        <v>6374</v>
      </c>
      <c r="B3800">
        <v>431716</v>
      </c>
    </row>
    <row r="3801" spans="1:2" x14ac:dyDescent="0.25">
      <c r="A3801" t="s">
        <v>6375</v>
      </c>
      <c r="B3801">
        <v>420431</v>
      </c>
    </row>
    <row r="3802" spans="1:2" x14ac:dyDescent="0.25">
      <c r="A3802" t="s">
        <v>6376</v>
      </c>
      <c r="B3802">
        <v>227304</v>
      </c>
    </row>
    <row r="3803" spans="1:2" x14ac:dyDescent="0.25">
      <c r="A3803" t="s">
        <v>6377</v>
      </c>
      <c r="B3803">
        <v>147819</v>
      </c>
    </row>
    <row r="3804" spans="1:2" x14ac:dyDescent="0.25">
      <c r="A3804" t="s">
        <v>6378</v>
      </c>
      <c r="B3804">
        <v>230490</v>
      </c>
    </row>
    <row r="3805" spans="1:2" x14ac:dyDescent="0.25">
      <c r="A3805" t="s">
        <v>6379</v>
      </c>
      <c r="B3805">
        <v>366465</v>
      </c>
    </row>
    <row r="3806" spans="1:2" x14ac:dyDescent="0.25">
      <c r="A3806" t="s">
        <v>6380</v>
      </c>
      <c r="B3806">
        <v>219277</v>
      </c>
    </row>
    <row r="3807" spans="1:2" x14ac:dyDescent="0.25">
      <c r="A3807" t="s">
        <v>6381</v>
      </c>
      <c r="B3807">
        <v>227313</v>
      </c>
    </row>
    <row r="3808" spans="1:2" x14ac:dyDescent="0.25">
      <c r="A3808" t="s">
        <v>6382</v>
      </c>
      <c r="B3808">
        <v>381404</v>
      </c>
    </row>
    <row r="3809" spans="1:2" x14ac:dyDescent="0.25">
      <c r="A3809" t="s">
        <v>6383</v>
      </c>
      <c r="B3809">
        <v>478591</v>
      </c>
    </row>
    <row r="3810" spans="1:2" x14ac:dyDescent="0.25">
      <c r="A3810" t="s">
        <v>6384</v>
      </c>
      <c r="B3810">
        <v>227322</v>
      </c>
    </row>
    <row r="3811" spans="1:2" x14ac:dyDescent="0.25">
      <c r="A3811" t="s">
        <v>6385</v>
      </c>
      <c r="B3811">
        <v>248703</v>
      </c>
    </row>
    <row r="3812" spans="1:2" x14ac:dyDescent="0.25">
      <c r="A3812" t="s">
        <v>6386</v>
      </c>
      <c r="B3812">
        <v>460978</v>
      </c>
    </row>
    <row r="3813" spans="1:2" x14ac:dyDescent="0.25">
      <c r="A3813" t="s">
        <v>6387</v>
      </c>
      <c r="B3813">
        <v>480125</v>
      </c>
    </row>
    <row r="3814" spans="1:2" x14ac:dyDescent="0.25">
      <c r="A3814" t="s">
        <v>6388</v>
      </c>
      <c r="B3814">
        <v>484604</v>
      </c>
    </row>
    <row r="3815" spans="1:2" x14ac:dyDescent="0.25">
      <c r="A3815" t="s">
        <v>6389</v>
      </c>
      <c r="B3815">
        <v>497073</v>
      </c>
    </row>
    <row r="3816" spans="1:2" x14ac:dyDescent="0.25">
      <c r="A3816" t="s">
        <v>6390</v>
      </c>
      <c r="B3816">
        <v>140696</v>
      </c>
    </row>
    <row r="3817" spans="1:2" x14ac:dyDescent="0.25">
      <c r="A3817" t="s">
        <v>6391</v>
      </c>
      <c r="B3817">
        <v>493646</v>
      </c>
    </row>
    <row r="3818" spans="1:2" x14ac:dyDescent="0.25">
      <c r="A3818" t="s">
        <v>6392</v>
      </c>
      <c r="B3818">
        <v>497161</v>
      </c>
    </row>
    <row r="3819" spans="1:2" x14ac:dyDescent="0.25">
      <c r="A3819" t="s">
        <v>6393</v>
      </c>
      <c r="B3819">
        <v>203739</v>
      </c>
    </row>
    <row r="3820" spans="1:2" x14ac:dyDescent="0.25">
      <c r="A3820" t="s">
        <v>6394</v>
      </c>
      <c r="B3820">
        <v>203720</v>
      </c>
    </row>
    <row r="3821" spans="1:2" x14ac:dyDescent="0.25">
      <c r="A3821" t="s">
        <v>6395</v>
      </c>
      <c r="B3821">
        <v>201964</v>
      </c>
    </row>
    <row r="3822" spans="1:2" x14ac:dyDescent="0.25">
      <c r="A3822" t="s">
        <v>6396</v>
      </c>
      <c r="B3822">
        <v>204617</v>
      </c>
    </row>
    <row r="3823" spans="1:2" x14ac:dyDescent="0.25">
      <c r="A3823" t="s">
        <v>6397</v>
      </c>
      <c r="B3823">
        <v>483647</v>
      </c>
    </row>
    <row r="3824" spans="1:2" x14ac:dyDescent="0.25">
      <c r="A3824" t="s">
        <v>6398</v>
      </c>
      <c r="B3824">
        <v>418269</v>
      </c>
    </row>
    <row r="3825" spans="1:2" x14ac:dyDescent="0.25">
      <c r="A3825" t="s">
        <v>6399</v>
      </c>
      <c r="B3825">
        <v>453756</v>
      </c>
    </row>
    <row r="3826" spans="1:2" x14ac:dyDescent="0.25">
      <c r="A3826" t="s">
        <v>6400</v>
      </c>
      <c r="B3826">
        <v>410797</v>
      </c>
    </row>
    <row r="3827" spans="1:2" x14ac:dyDescent="0.25">
      <c r="A3827" t="s">
        <v>6401</v>
      </c>
      <c r="B3827">
        <v>453792</v>
      </c>
    </row>
    <row r="3828" spans="1:2" x14ac:dyDescent="0.25">
      <c r="A3828" t="s">
        <v>6402</v>
      </c>
      <c r="B3828">
        <v>204635</v>
      </c>
    </row>
    <row r="3829" spans="1:2" x14ac:dyDescent="0.25">
      <c r="A3829" t="s">
        <v>6403</v>
      </c>
      <c r="B3829">
        <v>204714</v>
      </c>
    </row>
    <row r="3830" spans="1:2" x14ac:dyDescent="0.25">
      <c r="A3830" t="s">
        <v>6404</v>
      </c>
      <c r="B3830">
        <v>204723</v>
      </c>
    </row>
    <row r="3831" spans="1:2" x14ac:dyDescent="0.25">
      <c r="A3831" t="s">
        <v>6405</v>
      </c>
      <c r="B3831">
        <v>204778</v>
      </c>
    </row>
    <row r="3832" spans="1:2" x14ac:dyDescent="0.25">
      <c r="A3832" t="s">
        <v>6406</v>
      </c>
      <c r="B3832">
        <v>405012</v>
      </c>
    </row>
    <row r="3833" spans="1:2" x14ac:dyDescent="0.25">
      <c r="A3833" t="s">
        <v>6407</v>
      </c>
      <c r="B3833">
        <v>204662</v>
      </c>
    </row>
    <row r="3834" spans="1:2" x14ac:dyDescent="0.25">
      <c r="A3834" t="s">
        <v>6408</v>
      </c>
      <c r="B3834">
        <v>204671</v>
      </c>
    </row>
    <row r="3835" spans="1:2" x14ac:dyDescent="0.25">
      <c r="A3835" t="s">
        <v>6409</v>
      </c>
      <c r="B3835">
        <v>204796</v>
      </c>
    </row>
    <row r="3836" spans="1:2" x14ac:dyDescent="0.25">
      <c r="A3836" t="s">
        <v>6410</v>
      </c>
      <c r="B3836">
        <v>204680</v>
      </c>
    </row>
    <row r="3837" spans="1:2" x14ac:dyDescent="0.25">
      <c r="A3837" t="s">
        <v>6411</v>
      </c>
      <c r="B3837">
        <v>204699</v>
      </c>
    </row>
    <row r="3838" spans="1:2" x14ac:dyDescent="0.25">
      <c r="A3838" t="s">
        <v>6412</v>
      </c>
      <c r="B3838">
        <v>204705</v>
      </c>
    </row>
    <row r="3839" spans="1:2" x14ac:dyDescent="0.25">
      <c r="A3839" t="s">
        <v>6413</v>
      </c>
      <c r="B3839">
        <v>204608</v>
      </c>
    </row>
    <row r="3840" spans="1:2" x14ac:dyDescent="0.25">
      <c r="A3840" t="s">
        <v>6414</v>
      </c>
      <c r="B3840">
        <v>204820</v>
      </c>
    </row>
    <row r="3841" spans="1:2" x14ac:dyDescent="0.25">
      <c r="A3841" t="s">
        <v>6415</v>
      </c>
      <c r="B3841">
        <v>204802</v>
      </c>
    </row>
    <row r="3842" spans="1:2" x14ac:dyDescent="0.25">
      <c r="A3842" t="s">
        <v>6416</v>
      </c>
      <c r="B3842">
        <v>204848</v>
      </c>
    </row>
    <row r="3843" spans="1:2" x14ac:dyDescent="0.25">
      <c r="A3843" t="s">
        <v>6417</v>
      </c>
      <c r="B3843">
        <v>204857</v>
      </c>
    </row>
    <row r="3844" spans="1:2" x14ac:dyDescent="0.25">
      <c r="A3844" t="s">
        <v>6418</v>
      </c>
      <c r="B3844">
        <v>204839</v>
      </c>
    </row>
    <row r="3845" spans="1:2" x14ac:dyDescent="0.25">
      <c r="A3845" t="s">
        <v>6419</v>
      </c>
      <c r="B3845">
        <v>204866</v>
      </c>
    </row>
    <row r="3846" spans="1:2" x14ac:dyDescent="0.25">
      <c r="A3846" t="s">
        <v>6420</v>
      </c>
      <c r="B3846">
        <v>237640</v>
      </c>
    </row>
    <row r="3847" spans="1:2" x14ac:dyDescent="0.25">
      <c r="A3847" t="s">
        <v>6421</v>
      </c>
      <c r="B3847">
        <v>204909</v>
      </c>
    </row>
    <row r="3848" spans="1:2" x14ac:dyDescent="0.25">
      <c r="A3848" t="s">
        <v>6422</v>
      </c>
      <c r="B3848">
        <v>120290</v>
      </c>
    </row>
    <row r="3849" spans="1:2" x14ac:dyDescent="0.25">
      <c r="A3849" t="s">
        <v>6423</v>
      </c>
      <c r="B3849">
        <v>194189</v>
      </c>
    </row>
    <row r="3850" spans="1:2" x14ac:dyDescent="0.25">
      <c r="A3850" t="s">
        <v>6424</v>
      </c>
      <c r="B3850">
        <v>433068</v>
      </c>
    </row>
    <row r="3851" spans="1:2" x14ac:dyDescent="0.25">
      <c r="A3851" t="s">
        <v>6425</v>
      </c>
      <c r="B3851">
        <v>207403</v>
      </c>
    </row>
    <row r="3852" spans="1:2" x14ac:dyDescent="0.25">
      <c r="A3852" t="s">
        <v>6426</v>
      </c>
      <c r="B3852">
        <v>207324</v>
      </c>
    </row>
    <row r="3853" spans="1:2" x14ac:dyDescent="0.25">
      <c r="A3853" t="s">
        <v>6427</v>
      </c>
      <c r="B3853">
        <v>207449</v>
      </c>
    </row>
    <row r="3854" spans="1:2" x14ac:dyDescent="0.25">
      <c r="A3854" t="s">
        <v>6428</v>
      </c>
      <c r="B3854">
        <v>207458</v>
      </c>
    </row>
    <row r="3855" spans="1:2" x14ac:dyDescent="0.25">
      <c r="A3855" t="s">
        <v>6429</v>
      </c>
      <c r="B3855">
        <v>207351</v>
      </c>
    </row>
    <row r="3856" spans="1:2" x14ac:dyDescent="0.25">
      <c r="A3856" t="s">
        <v>6430</v>
      </c>
      <c r="B3856">
        <v>207315</v>
      </c>
    </row>
    <row r="3857" spans="1:2" x14ac:dyDescent="0.25">
      <c r="A3857" t="s">
        <v>6431</v>
      </c>
      <c r="B3857">
        <v>207564</v>
      </c>
    </row>
    <row r="3858" spans="1:2" x14ac:dyDescent="0.25">
      <c r="A3858" t="s">
        <v>6432</v>
      </c>
      <c r="B3858">
        <v>207388</v>
      </c>
    </row>
    <row r="3859" spans="1:2" x14ac:dyDescent="0.25">
      <c r="A3859" t="s">
        <v>6433</v>
      </c>
      <c r="B3859">
        <v>207397</v>
      </c>
    </row>
    <row r="3860" spans="1:2" x14ac:dyDescent="0.25">
      <c r="A3860" t="s">
        <v>6434</v>
      </c>
      <c r="B3860">
        <v>469629</v>
      </c>
    </row>
    <row r="3861" spans="1:2" x14ac:dyDescent="0.25">
      <c r="A3861" t="s">
        <v>6435</v>
      </c>
      <c r="B3861">
        <v>206835</v>
      </c>
    </row>
    <row r="3862" spans="1:2" x14ac:dyDescent="0.25">
      <c r="A3862" t="s">
        <v>6436</v>
      </c>
      <c r="B3862">
        <v>232982</v>
      </c>
    </row>
    <row r="3863" spans="1:2" x14ac:dyDescent="0.25">
      <c r="A3863" t="s">
        <v>6437</v>
      </c>
      <c r="B3863">
        <v>155353</v>
      </c>
    </row>
    <row r="3864" spans="1:2" x14ac:dyDescent="0.25">
      <c r="A3864" t="s">
        <v>6438</v>
      </c>
      <c r="B3864">
        <v>455859</v>
      </c>
    </row>
    <row r="3865" spans="1:2" x14ac:dyDescent="0.25">
      <c r="A3865" t="s">
        <v>6439</v>
      </c>
      <c r="B3865">
        <v>171599</v>
      </c>
    </row>
    <row r="3866" spans="1:2" x14ac:dyDescent="0.25">
      <c r="A3866" t="s">
        <v>6440</v>
      </c>
      <c r="B3866">
        <v>147828</v>
      </c>
    </row>
    <row r="3867" spans="1:2" x14ac:dyDescent="0.25">
      <c r="A3867" t="s">
        <v>6441</v>
      </c>
      <c r="B3867">
        <v>145707</v>
      </c>
    </row>
    <row r="3868" spans="1:2" x14ac:dyDescent="0.25">
      <c r="A3868" t="s">
        <v>6442</v>
      </c>
      <c r="B3868">
        <v>187505</v>
      </c>
    </row>
    <row r="3869" spans="1:2" x14ac:dyDescent="0.25">
      <c r="A3869" t="s">
        <v>6443</v>
      </c>
      <c r="B3869">
        <v>236188</v>
      </c>
    </row>
    <row r="3870" spans="1:2" x14ac:dyDescent="0.25">
      <c r="A3870" t="s">
        <v>6444</v>
      </c>
      <c r="B3870">
        <v>461120</v>
      </c>
    </row>
    <row r="3871" spans="1:2" x14ac:dyDescent="0.25">
      <c r="A3871" t="s">
        <v>6445</v>
      </c>
      <c r="B3871">
        <v>439844</v>
      </c>
    </row>
    <row r="3872" spans="1:2" x14ac:dyDescent="0.25">
      <c r="A3872" t="s">
        <v>6446</v>
      </c>
      <c r="B3872">
        <v>455026</v>
      </c>
    </row>
    <row r="3873" spans="1:2" x14ac:dyDescent="0.25">
      <c r="A3873" t="s">
        <v>6447</v>
      </c>
      <c r="B3873">
        <v>444796</v>
      </c>
    </row>
    <row r="3874" spans="1:2" x14ac:dyDescent="0.25">
      <c r="A3874" t="s">
        <v>6448</v>
      </c>
      <c r="B3874">
        <v>194222</v>
      </c>
    </row>
    <row r="3875" spans="1:2" x14ac:dyDescent="0.25">
      <c r="A3875" t="s">
        <v>6449</v>
      </c>
      <c r="B3875">
        <v>440730</v>
      </c>
    </row>
    <row r="3876" spans="1:2" x14ac:dyDescent="0.25">
      <c r="A3876" t="s">
        <v>6450</v>
      </c>
      <c r="B3876">
        <v>460455</v>
      </c>
    </row>
    <row r="3877" spans="1:2" x14ac:dyDescent="0.25">
      <c r="A3877" t="s">
        <v>6451</v>
      </c>
      <c r="B3877">
        <v>457846</v>
      </c>
    </row>
    <row r="3878" spans="1:2" x14ac:dyDescent="0.25">
      <c r="A3878" t="s">
        <v>6452</v>
      </c>
      <c r="B3878">
        <v>159601</v>
      </c>
    </row>
    <row r="3879" spans="1:2" x14ac:dyDescent="0.25">
      <c r="A3879" t="s">
        <v>6453</v>
      </c>
      <c r="B3879">
        <v>207582</v>
      </c>
    </row>
    <row r="3880" spans="1:2" x14ac:dyDescent="0.25">
      <c r="A3880" t="s">
        <v>6454</v>
      </c>
      <c r="B3880">
        <v>120342</v>
      </c>
    </row>
    <row r="3881" spans="1:2" x14ac:dyDescent="0.25">
      <c r="A3881" t="s">
        <v>6455</v>
      </c>
      <c r="B3881">
        <v>194240</v>
      </c>
    </row>
    <row r="3882" spans="1:2" x14ac:dyDescent="0.25">
      <c r="A3882" t="s">
        <v>6456</v>
      </c>
      <c r="B3882">
        <v>135735</v>
      </c>
    </row>
    <row r="3883" spans="1:2" x14ac:dyDescent="0.25">
      <c r="A3883" t="s">
        <v>6457</v>
      </c>
      <c r="B3883">
        <v>136303</v>
      </c>
    </row>
    <row r="3884" spans="1:2" x14ac:dyDescent="0.25">
      <c r="A3884" t="s">
        <v>6458</v>
      </c>
      <c r="B3884">
        <v>138372</v>
      </c>
    </row>
    <row r="3885" spans="1:2" x14ac:dyDescent="0.25">
      <c r="A3885" t="s">
        <v>6459</v>
      </c>
      <c r="B3885">
        <v>138488</v>
      </c>
    </row>
    <row r="3886" spans="1:2" x14ac:dyDescent="0.25">
      <c r="A3886" t="s">
        <v>6460</v>
      </c>
      <c r="B3886">
        <v>417992</v>
      </c>
    </row>
    <row r="3887" spans="1:2" x14ac:dyDescent="0.25">
      <c r="A3887" t="s">
        <v>6461</v>
      </c>
      <c r="B3887">
        <v>218487</v>
      </c>
    </row>
    <row r="3888" spans="1:2" x14ac:dyDescent="0.25">
      <c r="A3888" t="s">
        <v>6462</v>
      </c>
      <c r="B3888">
        <v>423652</v>
      </c>
    </row>
    <row r="3889" spans="1:2" x14ac:dyDescent="0.25">
      <c r="A3889" t="s">
        <v>6463</v>
      </c>
      <c r="B3889">
        <v>369659</v>
      </c>
    </row>
    <row r="3890" spans="1:2" x14ac:dyDescent="0.25">
      <c r="A3890" t="s">
        <v>6464</v>
      </c>
      <c r="B3890">
        <v>209490</v>
      </c>
    </row>
    <row r="3891" spans="1:2" x14ac:dyDescent="0.25">
      <c r="A3891" t="s">
        <v>6465</v>
      </c>
      <c r="B3891">
        <v>209506</v>
      </c>
    </row>
    <row r="3892" spans="1:2" x14ac:dyDescent="0.25">
      <c r="A3892" t="s">
        <v>6466</v>
      </c>
      <c r="B3892">
        <v>209542</v>
      </c>
    </row>
    <row r="3893" spans="1:2" x14ac:dyDescent="0.25">
      <c r="A3893" t="s">
        <v>6467</v>
      </c>
      <c r="B3893">
        <v>440828</v>
      </c>
    </row>
    <row r="3894" spans="1:2" x14ac:dyDescent="0.25">
      <c r="A3894" t="s">
        <v>6468</v>
      </c>
      <c r="B3894">
        <v>444635</v>
      </c>
    </row>
    <row r="3895" spans="1:2" x14ac:dyDescent="0.25">
      <c r="A3895" t="s">
        <v>6469</v>
      </c>
      <c r="B3895">
        <v>153427</v>
      </c>
    </row>
    <row r="3896" spans="1:2" x14ac:dyDescent="0.25">
      <c r="A3896" t="s">
        <v>6470</v>
      </c>
      <c r="B3896">
        <v>441593</v>
      </c>
    </row>
    <row r="3897" spans="1:2" x14ac:dyDescent="0.25">
      <c r="A3897" t="s">
        <v>6471</v>
      </c>
      <c r="B3897">
        <v>214528</v>
      </c>
    </row>
    <row r="3898" spans="1:2" x14ac:dyDescent="0.25">
      <c r="A3898" t="s">
        <v>6472</v>
      </c>
      <c r="B3898">
        <v>407434</v>
      </c>
    </row>
    <row r="3899" spans="1:2" x14ac:dyDescent="0.25">
      <c r="A3899" t="s">
        <v>6473</v>
      </c>
      <c r="B3899">
        <v>427991</v>
      </c>
    </row>
    <row r="3900" spans="1:2" x14ac:dyDescent="0.25">
      <c r="A3900" t="s">
        <v>6474</v>
      </c>
      <c r="B3900">
        <v>127778</v>
      </c>
    </row>
    <row r="3901" spans="1:2" x14ac:dyDescent="0.25">
      <c r="A3901" t="s">
        <v>6475</v>
      </c>
      <c r="B3901">
        <v>120403</v>
      </c>
    </row>
    <row r="3902" spans="1:2" x14ac:dyDescent="0.25">
      <c r="A3902" t="s">
        <v>6476</v>
      </c>
      <c r="B3902">
        <v>194259</v>
      </c>
    </row>
    <row r="3903" spans="1:2" x14ac:dyDescent="0.25">
      <c r="A3903" t="s">
        <v>6477</v>
      </c>
      <c r="B3903">
        <v>155636</v>
      </c>
    </row>
    <row r="3904" spans="1:2" x14ac:dyDescent="0.25">
      <c r="A3904" t="s">
        <v>6478</v>
      </c>
      <c r="B3904">
        <v>428259</v>
      </c>
    </row>
    <row r="3905" spans="1:2" x14ac:dyDescent="0.25">
      <c r="A3905" t="s">
        <v>6479</v>
      </c>
      <c r="B3905">
        <v>454582</v>
      </c>
    </row>
    <row r="3906" spans="1:2" x14ac:dyDescent="0.25">
      <c r="A3906" t="s">
        <v>6480</v>
      </c>
      <c r="B3906">
        <v>155627</v>
      </c>
    </row>
    <row r="3907" spans="1:2" x14ac:dyDescent="0.25">
      <c r="A3907" t="s">
        <v>6481</v>
      </c>
      <c r="B3907">
        <v>105367</v>
      </c>
    </row>
    <row r="3908" spans="1:2" x14ac:dyDescent="0.25">
      <c r="A3908" t="s">
        <v>6482</v>
      </c>
      <c r="B3908">
        <v>464226</v>
      </c>
    </row>
    <row r="3909" spans="1:2" x14ac:dyDescent="0.25">
      <c r="A3909" t="s">
        <v>6483</v>
      </c>
      <c r="B3909">
        <v>204936</v>
      </c>
    </row>
    <row r="3910" spans="1:2" x14ac:dyDescent="0.25">
      <c r="A3910" t="s">
        <v>6484</v>
      </c>
      <c r="B3910">
        <v>107512</v>
      </c>
    </row>
    <row r="3911" spans="1:2" x14ac:dyDescent="0.25">
      <c r="A3911" t="s">
        <v>6485</v>
      </c>
      <c r="B3911">
        <v>227331</v>
      </c>
    </row>
    <row r="3912" spans="1:2" x14ac:dyDescent="0.25">
      <c r="A3912" t="s">
        <v>6486</v>
      </c>
      <c r="B3912">
        <v>204945</v>
      </c>
    </row>
    <row r="3913" spans="1:2" x14ac:dyDescent="0.25">
      <c r="A3913" t="s">
        <v>6487</v>
      </c>
      <c r="B3913">
        <v>247940</v>
      </c>
    </row>
    <row r="3914" spans="1:2" x14ac:dyDescent="0.25">
      <c r="A3914" t="s">
        <v>6488</v>
      </c>
      <c r="B3914">
        <v>455798</v>
      </c>
    </row>
    <row r="3915" spans="1:2" x14ac:dyDescent="0.25">
      <c r="A3915" t="s">
        <v>6489</v>
      </c>
      <c r="B3915">
        <v>120421</v>
      </c>
    </row>
    <row r="3916" spans="1:2" x14ac:dyDescent="0.25">
      <c r="A3916" t="s">
        <v>6490</v>
      </c>
      <c r="B3916">
        <v>178679</v>
      </c>
    </row>
    <row r="3917" spans="1:2" x14ac:dyDescent="0.25">
      <c r="A3917" t="s">
        <v>6491</v>
      </c>
      <c r="B3917">
        <v>107549</v>
      </c>
    </row>
    <row r="3918" spans="1:2" x14ac:dyDescent="0.25">
      <c r="A3918" t="s">
        <v>6492</v>
      </c>
      <c r="B3918">
        <v>177472</v>
      </c>
    </row>
    <row r="3919" spans="1:2" x14ac:dyDescent="0.25">
      <c r="A3919" t="s">
        <v>6493</v>
      </c>
      <c r="B3919">
        <v>185970</v>
      </c>
    </row>
    <row r="3920" spans="1:2" x14ac:dyDescent="0.25">
      <c r="A3920" t="s">
        <v>6494</v>
      </c>
      <c r="B3920">
        <v>443216</v>
      </c>
    </row>
    <row r="3921" spans="1:2" x14ac:dyDescent="0.25">
      <c r="A3921" t="s">
        <v>6495</v>
      </c>
      <c r="B3921">
        <v>391005</v>
      </c>
    </row>
    <row r="3922" spans="1:2" x14ac:dyDescent="0.25">
      <c r="A3922" t="s">
        <v>6496</v>
      </c>
      <c r="B3922">
        <v>194310</v>
      </c>
    </row>
    <row r="3923" spans="1:2" x14ac:dyDescent="0.25">
      <c r="A3923" t="s">
        <v>6497</v>
      </c>
      <c r="B3923">
        <v>407610</v>
      </c>
    </row>
    <row r="3924" spans="1:2" x14ac:dyDescent="0.25">
      <c r="A3924" t="s">
        <v>6498</v>
      </c>
      <c r="B3924">
        <v>422695</v>
      </c>
    </row>
    <row r="3925" spans="1:2" x14ac:dyDescent="0.25">
      <c r="A3925" t="s">
        <v>6499</v>
      </c>
      <c r="B3925">
        <v>378576</v>
      </c>
    </row>
    <row r="3926" spans="1:2" x14ac:dyDescent="0.25">
      <c r="A3926" t="s">
        <v>6499</v>
      </c>
      <c r="B3926">
        <v>414595</v>
      </c>
    </row>
    <row r="3927" spans="1:2" x14ac:dyDescent="0.25">
      <c r="A3927" t="s">
        <v>6500</v>
      </c>
      <c r="B3927">
        <v>442842</v>
      </c>
    </row>
    <row r="3928" spans="1:2" x14ac:dyDescent="0.25">
      <c r="A3928" t="s">
        <v>6501</v>
      </c>
      <c r="B3928">
        <v>439862</v>
      </c>
    </row>
    <row r="3929" spans="1:2" x14ac:dyDescent="0.25">
      <c r="A3929" t="s">
        <v>6502</v>
      </c>
      <c r="B3929">
        <v>236230</v>
      </c>
    </row>
    <row r="3930" spans="1:2" x14ac:dyDescent="0.25">
      <c r="A3930" t="s">
        <v>6503</v>
      </c>
      <c r="B3930">
        <v>209603</v>
      </c>
    </row>
    <row r="3931" spans="1:2" x14ac:dyDescent="0.25">
      <c r="A3931" t="s">
        <v>6504</v>
      </c>
      <c r="B3931">
        <v>455406</v>
      </c>
    </row>
    <row r="3932" spans="1:2" x14ac:dyDescent="0.25">
      <c r="A3932" t="s">
        <v>6505</v>
      </c>
      <c r="B3932">
        <v>120768</v>
      </c>
    </row>
    <row r="3933" spans="1:2" x14ac:dyDescent="0.25">
      <c r="A3933" t="s">
        <v>6506</v>
      </c>
      <c r="B3933">
        <v>457484</v>
      </c>
    </row>
    <row r="3934" spans="1:2" x14ac:dyDescent="0.25">
      <c r="A3934" t="s">
        <v>6507</v>
      </c>
      <c r="B3934">
        <v>120795</v>
      </c>
    </row>
    <row r="3935" spans="1:2" x14ac:dyDescent="0.25">
      <c r="A3935" t="s">
        <v>6508</v>
      </c>
      <c r="B3935">
        <v>120838</v>
      </c>
    </row>
    <row r="3936" spans="1:2" x14ac:dyDescent="0.25">
      <c r="A3936" t="s">
        <v>6509</v>
      </c>
      <c r="B3936">
        <v>120865</v>
      </c>
    </row>
    <row r="3937" spans="1:2" x14ac:dyDescent="0.25">
      <c r="A3937" t="s">
        <v>6510</v>
      </c>
      <c r="B3937">
        <v>209612</v>
      </c>
    </row>
    <row r="3938" spans="1:2" x14ac:dyDescent="0.25">
      <c r="A3938" t="s">
        <v>6511</v>
      </c>
      <c r="B3938">
        <v>115746</v>
      </c>
    </row>
    <row r="3939" spans="1:2" x14ac:dyDescent="0.25">
      <c r="A3939" t="s">
        <v>6512</v>
      </c>
      <c r="B3939">
        <v>130110</v>
      </c>
    </row>
    <row r="3940" spans="1:2" x14ac:dyDescent="0.25">
      <c r="A3940" t="s">
        <v>6513</v>
      </c>
      <c r="B3940">
        <v>140720</v>
      </c>
    </row>
    <row r="3941" spans="1:2" x14ac:dyDescent="0.25">
      <c r="A3941" t="s">
        <v>6514</v>
      </c>
      <c r="B3941">
        <v>447731</v>
      </c>
    </row>
    <row r="3942" spans="1:2" x14ac:dyDescent="0.25">
      <c r="A3942" t="s">
        <v>6515</v>
      </c>
      <c r="B3942">
        <v>243647</v>
      </c>
    </row>
    <row r="3943" spans="1:2" x14ac:dyDescent="0.25">
      <c r="A3943" t="s">
        <v>6516</v>
      </c>
      <c r="B3943">
        <v>447722</v>
      </c>
    </row>
    <row r="3944" spans="1:2" x14ac:dyDescent="0.25">
      <c r="A3944" t="s">
        <v>6517</v>
      </c>
      <c r="B3944">
        <v>449490</v>
      </c>
    </row>
    <row r="3945" spans="1:2" x14ac:dyDescent="0.25">
      <c r="A3945" t="s">
        <v>6518</v>
      </c>
      <c r="B3945">
        <v>136330</v>
      </c>
    </row>
    <row r="3946" spans="1:2" x14ac:dyDescent="0.25">
      <c r="A3946" t="s">
        <v>6519</v>
      </c>
      <c r="B3946">
        <v>136358</v>
      </c>
    </row>
    <row r="3947" spans="1:2" x14ac:dyDescent="0.25">
      <c r="A3947" t="s">
        <v>6520</v>
      </c>
      <c r="B3947">
        <v>154174</v>
      </c>
    </row>
    <row r="3948" spans="1:2" x14ac:dyDescent="0.25">
      <c r="A3948" t="s">
        <v>6521</v>
      </c>
      <c r="B3948">
        <v>246354</v>
      </c>
    </row>
    <row r="3949" spans="1:2" x14ac:dyDescent="0.25">
      <c r="A3949" t="s">
        <v>6522</v>
      </c>
      <c r="B3949">
        <v>120698</v>
      </c>
    </row>
    <row r="3950" spans="1:2" x14ac:dyDescent="0.25">
      <c r="A3950" t="s">
        <v>6523</v>
      </c>
      <c r="B3950">
        <v>120953</v>
      </c>
    </row>
    <row r="3951" spans="1:2" x14ac:dyDescent="0.25">
      <c r="A3951" t="s">
        <v>6524</v>
      </c>
      <c r="B3951">
        <v>120971</v>
      </c>
    </row>
    <row r="3952" spans="1:2" x14ac:dyDescent="0.25">
      <c r="A3952" t="s">
        <v>6525</v>
      </c>
      <c r="B3952">
        <v>365125</v>
      </c>
    </row>
    <row r="3953" spans="1:2" x14ac:dyDescent="0.25">
      <c r="A3953" t="s">
        <v>6526</v>
      </c>
      <c r="B3953">
        <v>199263</v>
      </c>
    </row>
    <row r="3954" spans="1:2" x14ac:dyDescent="0.25">
      <c r="A3954" t="s">
        <v>6527</v>
      </c>
      <c r="B3954">
        <v>475413</v>
      </c>
    </row>
    <row r="3955" spans="1:2" x14ac:dyDescent="0.25">
      <c r="A3955" t="s">
        <v>6528</v>
      </c>
      <c r="B3955">
        <v>227386</v>
      </c>
    </row>
    <row r="3956" spans="1:2" x14ac:dyDescent="0.25">
      <c r="A3956" t="s">
        <v>6529</v>
      </c>
      <c r="B3956">
        <v>364016</v>
      </c>
    </row>
    <row r="3957" spans="1:2" x14ac:dyDescent="0.25">
      <c r="A3957" t="s">
        <v>6530</v>
      </c>
      <c r="B3957">
        <v>204963</v>
      </c>
    </row>
    <row r="3958" spans="1:2" x14ac:dyDescent="0.25">
      <c r="A3958" t="s">
        <v>6531</v>
      </c>
      <c r="B3958">
        <v>121628</v>
      </c>
    </row>
    <row r="3959" spans="1:2" x14ac:dyDescent="0.25">
      <c r="A3959" t="s">
        <v>6532</v>
      </c>
      <c r="B3959">
        <v>227401</v>
      </c>
    </row>
    <row r="3960" spans="1:2" x14ac:dyDescent="0.25">
      <c r="A3960" t="s">
        <v>6533</v>
      </c>
      <c r="B3960">
        <v>186016</v>
      </c>
    </row>
    <row r="3961" spans="1:2" x14ac:dyDescent="0.25">
      <c r="A3961" t="s">
        <v>6534</v>
      </c>
      <c r="B3961">
        <v>483896</v>
      </c>
    </row>
    <row r="3962" spans="1:2" x14ac:dyDescent="0.25">
      <c r="A3962" t="s">
        <v>6535</v>
      </c>
      <c r="B3962">
        <v>484190</v>
      </c>
    </row>
    <row r="3963" spans="1:2" x14ac:dyDescent="0.25">
      <c r="A3963" t="s">
        <v>6536</v>
      </c>
      <c r="B3963">
        <v>178721</v>
      </c>
    </row>
    <row r="3964" spans="1:2" x14ac:dyDescent="0.25">
      <c r="A3964" t="s">
        <v>6537</v>
      </c>
      <c r="B3964">
        <v>243823</v>
      </c>
    </row>
    <row r="3965" spans="1:2" x14ac:dyDescent="0.25">
      <c r="A3965" t="s">
        <v>6538</v>
      </c>
      <c r="B3965">
        <v>147916</v>
      </c>
    </row>
    <row r="3966" spans="1:2" x14ac:dyDescent="0.25">
      <c r="A3966" t="s">
        <v>6539</v>
      </c>
      <c r="B3966">
        <v>235158</v>
      </c>
    </row>
    <row r="3967" spans="1:2" x14ac:dyDescent="0.25">
      <c r="A3967" t="s">
        <v>6540</v>
      </c>
      <c r="B3967">
        <v>121044</v>
      </c>
    </row>
    <row r="3968" spans="1:2" x14ac:dyDescent="0.25">
      <c r="A3968" t="s">
        <v>6541</v>
      </c>
      <c r="B3968">
        <v>136400</v>
      </c>
    </row>
    <row r="3969" spans="1:2" x14ac:dyDescent="0.25">
      <c r="A3969" t="s">
        <v>6542</v>
      </c>
      <c r="B3969">
        <v>186034</v>
      </c>
    </row>
    <row r="3970" spans="1:2" x14ac:dyDescent="0.25">
      <c r="A3970" t="s">
        <v>6543</v>
      </c>
      <c r="B3970">
        <v>160117</v>
      </c>
    </row>
    <row r="3971" spans="1:2" x14ac:dyDescent="0.25">
      <c r="A3971" t="s">
        <v>6544</v>
      </c>
      <c r="B3971">
        <v>434283</v>
      </c>
    </row>
    <row r="3972" spans="1:2" x14ac:dyDescent="0.25">
      <c r="A3972" t="s">
        <v>6545</v>
      </c>
      <c r="B3972">
        <v>495916</v>
      </c>
    </row>
    <row r="3973" spans="1:2" x14ac:dyDescent="0.25">
      <c r="A3973" t="s">
        <v>6546</v>
      </c>
      <c r="B3973">
        <v>451927</v>
      </c>
    </row>
    <row r="3974" spans="1:2" x14ac:dyDescent="0.25">
      <c r="A3974" t="s">
        <v>6547</v>
      </c>
      <c r="B3974">
        <v>233019</v>
      </c>
    </row>
    <row r="3975" spans="1:2" x14ac:dyDescent="0.25">
      <c r="A3975" t="s">
        <v>6548</v>
      </c>
      <c r="B3975">
        <v>233037</v>
      </c>
    </row>
    <row r="3976" spans="1:2" x14ac:dyDescent="0.25">
      <c r="A3976" t="s">
        <v>6549</v>
      </c>
      <c r="B3976">
        <v>107789</v>
      </c>
    </row>
    <row r="3977" spans="1:2" x14ac:dyDescent="0.25">
      <c r="A3977" t="s">
        <v>6550</v>
      </c>
      <c r="B3977">
        <v>475486</v>
      </c>
    </row>
    <row r="3978" spans="1:2" x14ac:dyDescent="0.25">
      <c r="A3978" t="s">
        <v>6551</v>
      </c>
      <c r="B3978">
        <v>454926</v>
      </c>
    </row>
    <row r="3979" spans="1:2" x14ac:dyDescent="0.25">
      <c r="A3979" t="s">
        <v>6552</v>
      </c>
      <c r="B3979">
        <v>451565</v>
      </c>
    </row>
    <row r="3980" spans="1:2" x14ac:dyDescent="0.25">
      <c r="A3980" t="s">
        <v>6553</v>
      </c>
      <c r="B3980">
        <v>454652</v>
      </c>
    </row>
    <row r="3981" spans="1:2" x14ac:dyDescent="0.25">
      <c r="A3981" t="s">
        <v>6554</v>
      </c>
      <c r="B3981">
        <v>260929</v>
      </c>
    </row>
    <row r="3982" spans="1:2" x14ac:dyDescent="0.25">
      <c r="A3982" t="s">
        <v>6555</v>
      </c>
      <c r="B3982">
        <v>143376</v>
      </c>
    </row>
    <row r="3983" spans="1:2" x14ac:dyDescent="0.25">
      <c r="A3983" t="s">
        <v>6556</v>
      </c>
      <c r="B3983">
        <v>467872</v>
      </c>
    </row>
    <row r="3984" spans="1:2" x14ac:dyDescent="0.25">
      <c r="A3984" t="s">
        <v>6557</v>
      </c>
      <c r="B3984">
        <v>458274</v>
      </c>
    </row>
    <row r="3985" spans="1:2" x14ac:dyDescent="0.25">
      <c r="A3985" t="s">
        <v>6558</v>
      </c>
      <c r="B3985">
        <v>455284</v>
      </c>
    </row>
    <row r="3986" spans="1:2" x14ac:dyDescent="0.25">
      <c r="A3986" t="s">
        <v>6559</v>
      </c>
      <c r="B3986">
        <v>488989</v>
      </c>
    </row>
    <row r="3987" spans="1:2" x14ac:dyDescent="0.25">
      <c r="A3987" t="s">
        <v>6560</v>
      </c>
      <c r="B3987">
        <v>456065</v>
      </c>
    </row>
    <row r="3988" spans="1:2" x14ac:dyDescent="0.25">
      <c r="A3988" t="s">
        <v>6561</v>
      </c>
      <c r="B3988">
        <v>459286</v>
      </c>
    </row>
    <row r="3989" spans="1:2" x14ac:dyDescent="0.25">
      <c r="A3989" t="s">
        <v>6562</v>
      </c>
      <c r="B3989">
        <v>467863</v>
      </c>
    </row>
    <row r="3990" spans="1:2" x14ac:dyDescent="0.25">
      <c r="A3990" t="s">
        <v>6563</v>
      </c>
      <c r="B3990">
        <v>456074</v>
      </c>
    </row>
    <row r="3991" spans="1:2" x14ac:dyDescent="0.25">
      <c r="A3991" t="s">
        <v>6564</v>
      </c>
      <c r="B3991">
        <v>442240</v>
      </c>
    </row>
    <row r="3992" spans="1:2" x14ac:dyDescent="0.25">
      <c r="A3992" t="s">
        <v>6565</v>
      </c>
      <c r="B3992">
        <v>224156</v>
      </c>
    </row>
    <row r="3993" spans="1:2" x14ac:dyDescent="0.25">
      <c r="A3993" t="s">
        <v>6566</v>
      </c>
      <c r="B3993">
        <v>459301</v>
      </c>
    </row>
    <row r="3994" spans="1:2" x14ac:dyDescent="0.25">
      <c r="A3994" t="s">
        <v>6567</v>
      </c>
      <c r="B3994">
        <v>482176</v>
      </c>
    </row>
    <row r="3995" spans="1:2" x14ac:dyDescent="0.25">
      <c r="A3995" t="s">
        <v>6568</v>
      </c>
      <c r="B3995">
        <v>459231</v>
      </c>
    </row>
    <row r="3996" spans="1:2" x14ac:dyDescent="0.25">
      <c r="A3996" t="s">
        <v>6569</v>
      </c>
      <c r="B3996">
        <v>454607</v>
      </c>
    </row>
    <row r="3997" spans="1:2" x14ac:dyDescent="0.25">
      <c r="A3997" t="s">
        <v>6570</v>
      </c>
      <c r="B3997">
        <v>484093</v>
      </c>
    </row>
    <row r="3998" spans="1:2" x14ac:dyDescent="0.25">
      <c r="A3998" t="s">
        <v>6571</v>
      </c>
      <c r="B3998">
        <v>199689</v>
      </c>
    </row>
    <row r="3999" spans="1:2" x14ac:dyDescent="0.25">
      <c r="A3999" t="s">
        <v>6572</v>
      </c>
      <c r="B3999">
        <v>495369</v>
      </c>
    </row>
    <row r="4000" spans="1:2" x14ac:dyDescent="0.25">
      <c r="A4000" t="s">
        <v>6573</v>
      </c>
      <c r="B4000">
        <v>475547</v>
      </c>
    </row>
    <row r="4001" spans="1:2" x14ac:dyDescent="0.25">
      <c r="A4001" t="s">
        <v>6574</v>
      </c>
      <c r="B4001">
        <v>459198</v>
      </c>
    </row>
    <row r="4002" spans="1:2" x14ac:dyDescent="0.25">
      <c r="A4002" t="s">
        <v>6575</v>
      </c>
      <c r="B4002">
        <v>444486</v>
      </c>
    </row>
    <row r="4003" spans="1:2" x14ac:dyDescent="0.25">
      <c r="A4003" t="s">
        <v>6576</v>
      </c>
      <c r="B4003">
        <v>172680</v>
      </c>
    </row>
    <row r="4004" spans="1:2" x14ac:dyDescent="0.25">
      <c r="A4004" t="s">
        <v>6577</v>
      </c>
      <c r="B4004">
        <v>446288</v>
      </c>
    </row>
    <row r="4005" spans="1:2" x14ac:dyDescent="0.25">
      <c r="A4005" t="s">
        <v>6578</v>
      </c>
      <c r="B4005">
        <v>483337</v>
      </c>
    </row>
    <row r="4006" spans="1:2" x14ac:dyDescent="0.25">
      <c r="A4006" t="s">
        <v>6579</v>
      </c>
      <c r="B4006">
        <v>461591</v>
      </c>
    </row>
    <row r="4007" spans="1:2" x14ac:dyDescent="0.25">
      <c r="A4007" t="s">
        <v>6580</v>
      </c>
      <c r="B4007">
        <v>249238</v>
      </c>
    </row>
    <row r="4008" spans="1:2" x14ac:dyDescent="0.25">
      <c r="A4008" t="s">
        <v>6581</v>
      </c>
      <c r="B4008">
        <v>417008</v>
      </c>
    </row>
    <row r="4009" spans="1:2" x14ac:dyDescent="0.25">
      <c r="A4009" t="s">
        <v>6582</v>
      </c>
      <c r="B4009">
        <v>461917</v>
      </c>
    </row>
    <row r="4010" spans="1:2" x14ac:dyDescent="0.25">
      <c r="A4010" t="s">
        <v>6583</v>
      </c>
      <c r="B4010">
        <v>136109</v>
      </c>
    </row>
    <row r="4011" spans="1:2" x14ac:dyDescent="0.25">
      <c r="A4011" t="s">
        <v>6584</v>
      </c>
      <c r="B4011">
        <v>481508</v>
      </c>
    </row>
    <row r="4012" spans="1:2" x14ac:dyDescent="0.25">
      <c r="A4012" t="s">
        <v>6585</v>
      </c>
      <c r="B4012">
        <v>488749</v>
      </c>
    </row>
    <row r="4013" spans="1:2" x14ac:dyDescent="0.25">
      <c r="A4013" t="s">
        <v>6586</v>
      </c>
      <c r="B4013">
        <v>248660</v>
      </c>
    </row>
    <row r="4014" spans="1:2" x14ac:dyDescent="0.25">
      <c r="A4014" t="s">
        <v>6587</v>
      </c>
      <c r="B4014">
        <v>462008</v>
      </c>
    </row>
    <row r="4015" spans="1:2" x14ac:dyDescent="0.25">
      <c r="A4015" t="s">
        <v>6588</v>
      </c>
      <c r="B4015">
        <v>156426</v>
      </c>
    </row>
    <row r="4016" spans="1:2" x14ac:dyDescent="0.25">
      <c r="A4016" t="s">
        <v>6589</v>
      </c>
      <c r="B4016">
        <v>106908</v>
      </c>
    </row>
    <row r="4017" spans="1:2" x14ac:dyDescent="0.25">
      <c r="A4017" t="s">
        <v>6590</v>
      </c>
      <c r="B4017">
        <v>448220</v>
      </c>
    </row>
    <row r="4018" spans="1:2" x14ac:dyDescent="0.25">
      <c r="A4018" t="s">
        <v>6591</v>
      </c>
      <c r="B4018">
        <v>483328</v>
      </c>
    </row>
    <row r="4019" spans="1:2" x14ac:dyDescent="0.25">
      <c r="A4019" t="s">
        <v>6592</v>
      </c>
      <c r="B4019">
        <v>156842</v>
      </c>
    </row>
    <row r="4020" spans="1:2" x14ac:dyDescent="0.25">
      <c r="A4020" t="s">
        <v>6593</v>
      </c>
      <c r="B4020">
        <v>486983</v>
      </c>
    </row>
    <row r="4021" spans="1:2" x14ac:dyDescent="0.25">
      <c r="A4021" t="s">
        <v>6594</v>
      </c>
      <c r="B4021">
        <v>456029</v>
      </c>
    </row>
    <row r="4022" spans="1:2" x14ac:dyDescent="0.25">
      <c r="A4022" t="s">
        <v>6595</v>
      </c>
      <c r="B4022">
        <v>484109</v>
      </c>
    </row>
    <row r="4023" spans="1:2" x14ac:dyDescent="0.25">
      <c r="A4023" t="s">
        <v>6596</v>
      </c>
      <c r="B4023">
        <v>451121</v>
      </c>
    </row>
    <row r="4024" spans="1:2" x14ac:dyDescent="0.25">
      <c r="A4024" t="s">
        <v>6597</v>
      </c>
      <c r="B4024">
        <v>449977</v>
      </c>
    </row>
    <row r="4025" spans="1:2" x14ac:dyDescent="0.25">
      <c r="A4025" t="s">
        <v>6598</v>
      </c>
      <c r="B4025">
        <v>459578</v>
      </c>
    </row>
    <row r="4026" spans="1:2" x14ac:dyDescent="0.25">
      <c r="A4026" t="s">
        <v>6599</v>
      </c>
      <c r="B4026">
        <v>177685</v>
      </c>
    </row>
    <row r="4027" spans="1:2" x14ac:dyDescent="0.25">
      <c r="A4027" t="s">
        <v>6600</v>
      </c>
      <c r="B4027">
        <v>459170</v>
      </c>
    </row>
    <row r="4028" spans="1:2" x14ac:dyDescent="0.25">
      <c r="A4028" t="s">
        <v>6601</v>
      </c>
      <c r="B4028">
        <v>220491</v>
      </c>
    </row>
    <row r="4029" spans="1:2" x14ac:dyDescent="0.25">
      <c r="A4029" t="s">
        <v>6602</v>
      </c>
      <c r="B4029">
        <v>495794</v>
      </c>
    </row>
    <row r="4030" spans="1:2" x14ac:dyDescent="0.25">
      <c r="A4030" t="s">
        <v>6603</v>
      </c>
      <c r="B4030">
        <v>488998</v>
      </c>
    </row>
    <row r="4031" spans="1:2" x14ac:dyDescent="0.25">
      <c r="A4031" t="s">
        <v>6604</v>
      </c>
      <c r="B4031">
        <v>457545</v>
      </c>
    </row>
    <row r="4032" spans="1:2" x14ac:dyDescent="0.25">
      <c r="A4032" t="s">
        <v>6605</v>
      </c>
      <c r="B4032">
        <v>129349</v>
      </c>
    </row>
    <row r="4033" spans="1:2" x14ac:dyDescent="0.25">
      <c r="A4033" t="s">
        <v>6606</v>
      </c>
      <c r="B4033">
        <v>476294</v>
      </c>
    </row>
    <row r="4034" spans="1:2" x14ac:dyDescent="0.25">
      <c r="A4034" t="s">
        <v>6607</v>
      </c>
      <c r="B4034">
        <v>445212</v>
      </c>
    </row>
    <row r="4035" spans="1:2" x14ac:dyDescent="0.25">
      <c r="A4035" t="s">
        <v>6608</v>
      </c>
      <c r="B4035">
        <v>476984</v>
      </c>
    </row>
    <row r="4036" spans="1:2" x14ac:dyDescent="0.25">
      <c r="A4036" t="s">
        <v>6609</v>
      </c>
      <c r="B4036">
        <v>454768</v>
      </c>
    </row>
    <row r="4037" spans="1:2" x14ac:dyDescent="0.25">
      <c r="A4037" t="s">
        <v>6610</v>
      </c>
      <c r="B4037">
        <v>459116</v>
      </c>
    </row>
    <row r="4038" spans="1:2" x14ac:dyDescent="0.25">
      <c r="A4038" t="s">
        <v>6611</v>
      </c>
      <c r="B4038">
        <v>183202</v>
      </c>
    </row>
    <row r="4039" spans="1:2" x14ac:dyDescent="0.25">
      <c r="A4039" t="s">
        <v>6612</v>
      </c>
      <c r="B4039">
        <v>475556</v>
      </c>
    </row>
    <row r="4040" spans="1:2" x14ac:dyDescent="0.25">
      <c r="A4040" t="s">
        <v>6613</v>
      </c>
      <c r="B4040">
        <v>219125</v>
      </c>
    </row>
    <row r="4041" spans="1:2" x14ac:dyDescent="0.25">
      <c r="A4041" t="s">
        <v>6614</v>
      </c>
      <c r="B4041">
        <v>476841</v>
      </c>
    </row>
    <row r="4042" spans="1:2" x14ac:dyDescent="0.25">
      <c r="A4042" t="s">
        <v>6615</v>
      </c>
      <c r="B4042">
        <v>495350</v>
      </c>
    </row>
    <row r="4043" spans="1:2" x14ac:dyDescent="0.25">
      <c r="A4043" t="s">
        <v>6616</v>
      </c>
      <c r="B4043">
        <v>454944</v>
      </c>
    </row>
    <row r="4044" spans="1:2" x14ac:dyDescent="0.25">
      <c r="A4044" t="s">
        <v>6617</v>
      </c>
      <c r="B4044">
        <v>443641</v>
      </c>
    </row>
    <row r="4045" spans="1:2" x14ac:dyDescent="0.25">
      <c r="A4045" t="s">
        <v>6618</v>
      </c>
      <c r="B4045">
        <v>234924</v>
      </c>
    </row>
    <row r="4046" spans="1:2" x14ac:dyDescent="0.25">
      <c r="A4046" t="s">
        <v>6619</v>
      </c>
      <c r="B4046">
        <v>495411</v>
      </c>
    </row>
    <row r="4047" spans="1:2" x14ac:dyDescent="0.25">
      <c r="A4047" t="s">
        <v>6620</v>
      </c>
      <c r="B4047">
        <v>231280</v>
      </c>
    </row>
    <row r="4048" spans="1:2" x14ac:dyDescent="0.25">
      <c r="A4048" t="s">
        <v>6621</v>
      </c>
      <c r="B4048">
        <v>455761</v>
      </c>
    </row>
    <row r="4049" spans="1:2" x14ac:dyDescent="0.25">
      <c r="A4049" t="s">
        <v>6622</v>
      </c>
      <c r="B4049">
        <v>230214</v>
      </c>
    </row>
    <row r="4050" spans="1:2" x14ac:dyDescent="0.25">
      <c r="A4050" t="s">
        <v>6623</v>
      </c>
      <c r="B4050">
        <v>451714</v>
      </c>
    </row>
    <row r="4051" spans="1:2" x14ac:dyDescent="0.25">
      <c r="A4051" t="s">
        <v>6624</v>
      </c>
      <c r="B4051">
        <v>449968</v>
      </c>
    </row>
    <row r="4052" spans="1:2" x14ac:dyDescent="0.25">
      <c r="A4052" t="s">
        <v>6625</v>
      </c>
      <c r="B4052">
        <v>494454</v>
      </c>
    </row>
    <row r="4053" spans="1:2" x14ac:dyDescent="0.25">
      <c r="A4053" t="s">
        <v>6625</v>
      </c>
      <c r="B4053">
        <v>495077</v>
      </c>
    </row>
    <row r="4054" spans="1:2" x14ac:dyDescent="0.25">
      <c r="A4054" t="s">
        <v>6626</v>
      </c>
      <c r="B4054">
        <v>484011</v>
      </c>
    </row>
    <row r="4055" spans="1:2" x14ac:dyDescent="0.25">
      <c r="A4055" t="s">
        <v>6627</v>
      </c>
      <c r="B4055">
        <v>449986</v>
      </c>
    </row>
    <row r="4056" spans="1:2" x14ac:dyDescent="0.25">
      <c r="A4056" t="s">
        <v>6628</v>
      </c>
      <c r="B4056">
        <v>462071</v>
      </c>
    </row>
    <row r="4057" spans="1:2" x14ac:dyDescent="0.25">
      <c r="A4057" t="s">
        <v>6629</v>
      </c>
      <c r="B4057">
        <v>455080</v>
      </c>
    </row>
    <row r="4058" spans="1:2" x14ac:dyDescent="0.25">
      <c r="A4058" t="s">
        <v>6630</v>
      </c>
      <c r="B4058">
        <v>461421</v>
      </c>
    </row>
    <row r="4059" spans="1:2" x14ac:dyDescent="0.25">
      <c r="A4059" t="s">
        <v>6631</v>
      </c>
      <c r="B4059">
        <v>421610</v>
      </c>
    </row>
    <row r="4060" spans="1:2" x14ac:dyDescent="0.25">
      <c r="A4060" t="s">
        <v>6632</v>
      </c>
      <c r="B4060">
        <v>449959</v>
      </c>
    </row>
    <row r="4061" spans="1:2" x14ac:dyDescent="0.25">
      <c r="A4061" t="s">
        <v>6633</v>
      </c>
      <c r="B4061">
        <v>457323</v>
      </c>
    </row>
    <row r="4062" spans="1:2" x14ac:dyDescent="0.25">
      <c r="A4062" t="s">
        <v>6634</v>
      </c>
      <c r="B4062">
        <v>485032</v>
      </c>
    </row>
    <row r="4063" spans="1:2" x14ac:dyDescent="0.25">
      <c r="A4063" t="s">
        <v>6635</v>
      </c>
      <c r="B4063">
        <v>486567</v>
      </c>
    </row>
    <row r="4064" spans="1:2" x14ac:dyDescent="0.25">
      <c r="A4064" t="s">
        <v>6636</v>
      </c>
      <c r="B4064">
        <v>457493</v>
      </c>
    </row>
    <row r="4065" spans="1:2" x14ac:dyDescent="0.25">
      <c r="A4065" t="s">
        <v>6637</v>
      </c>
      <c r="B4065">
        <v>449995</v>
      </c>
    </row>
    <row r="4066" spans="1:2" x14ac:dyDescent="0.25">
      <c r="A4066" t="s">
        <v>6638</v>
      </c>
      <c r="B4066">
        <v>408066</v>
      </c>
    </row>
    <row r="4067" spans="1:2" x14ac:dyDescent="0.25">
      <c r="A4067" t="s">
        <v>6639</v>
      </c>
      <c r="B4067">
        <v>480930</v>
      </c>
    </row>
    <row r="4068" spans="1:2" x14ac:dyDescent="0.25">
      <c r="A4068" t="s">
        <v>6640</v>
      </c>
      <c r="B4068">
        <v>227429</v>
      </c>
    </row>
    <row r="4069" spans="1:2" x14ac:dyDescent="0.25">
      <c r="A4069" t="s">
        <v>6641</v>
      </c>
      <c r="B4069">
        <v>194392</v>
      </c>
    </row>
    <row r="4070" spans="1:2" x14ac:dyDescent="0.25">
      <c r="A4070" t="s">
        <v>6642</v>
      </c>
      <c r="B4070">
        <v>204990</v>
      </c>
    </row>
    <row r="4071" spans="1:2" x14ac:dyDescent="0.25">
      <c r="A4071" t="s">
        <v>6643</v>
      </c>
      <c r="B4071">
        <v>443225</v>
      </c>
    </row>
    <row r="4072" spans="1:2" x14ac:dyDescent="0.25">
      <c r="A4072" t="s">
        <v>6644</v>
      </c>
      <c r="B4072">
        <v>154208</v>
      </c>
    </row>
    <row r="4073" spans="1:2" x14ac:dyDescent="0.25">
      <c r="A4073" t="s">
        <v>6645</v>
      </c>
      <c r="B4073">
        <v>495378</v>
      </c>
    </row>
    <row r="4074" spans="1:2" x14ac:dyDescent="0.25">
      <c r="A4074" t="s">
        <v>6646</v>
      </c>
      <c r="B4074">
        <v>443979</v>
      </c>
    </row>
    <row r="4075" spans="1:2" x14ac:dyDescent="0.25">
      <c r="A4075" t="s">
        <v>6647</v>
      </c>
      <c r="B4075">
        <v>439871</v>
      </c>
    </row>
    <row r="4076" spans="1:2" x14ac:dyDescent="0.25">
      <c r="A4076" t="s">
        <v>6648</v>
      </c>
      <c r="B4076">
        <v>369783</v>
      </c>
    </row>
    <row r="4077" spans="1:2" x14ac:dyDescent="0.25">
      <c r="A4077" t="s">
        <v>6649</v>
      </c>
      <c r="B4077">
        <v>176239</v>
      </c>
    </row>
    <row r="4078" spans="1:2" x14ac:dyDescent="0.25">
      <c r="A4078" t="s">
        <v>6650</v>
      </c>
      <c r="B4078">
        <v>495244</v>
      </c>
    </row>
    <row r="4079" spans="1:2" x14ac:dyDescent="0.25">
      <c r="A4079" t="s">
        <v>6651</v>
      </c>
      <c r="B4079">
        <v>214883</v>
      </c>
    </row>
    <row r="4080" spans="1:2" x14ac:dyDescent="0.25">
      <c r="A4080" t="s">
        <v>6652</v>
      </c>
      <c r="B4080">
        <v>221643</v>
      </c>
    </row>
    <row r="4081" spans="1:2" x14ac:dyDescent="0.25">
      <c r="A4081" t="s">
        <v>6653</v>
      </c>
      <c r="B4081">
        <v>459514</v>
      </c>
    </row>
    <row r="4082" spans="1:2" x14ac:dyDescent="0.25">
      <c r="A4082" t="s">
        <v>6653</v>
      </c>
      <c r="B4082">
        <v>490735</v>
      </c>
    </row>
    <row r="4083" spans="1:2" x14ac:dyDescent="0.25">
      <c r="A4083" t="s">
        <v>6654</v>
      </c>
      <c r="B4083">
        <v>236258</v>
      </c>
    </row>
    <row r="4084" spans="1:2" x14ac:dyDescent="0.25">
      <c r="A4084" t="s">
        <v>6655</v>
      </c>
      <c r="B4084">
        <v>214892</v>
      </c>
    </row>
    <row r="4085" spans="1:2" x14ac:dyDescent="0.25">
      <c r="A4085" t="s">
        <v>6656</v>
      </c>
      <c r="B4085">
        <v>186052</v>
      </c>
    </row>
    <row r="4086" spans="1:2" x14ac:dyDescent="0.25">
      <c r="A4086" t="s">
        <v>6657</v>
      </c>
      <c r="B4086">
        <v>214944</v>
      </c>
    </row>
    <row r="4087" spans="1:2" x14ac:dyDescent="0.25">
      <c r="A4087" t="s">
        <v>6658</v>
      </c>
      <c r="B4087">
        <v>214971</v>
      </c>
    </row>
    <row r="4088" spans="1:2" x14ac:dyDescent="0.25">
      <c r="A4088" t="s">
        <v>6659</v>
      </c>
      <c r="B4088">
        <v>215053</v>
      </c>
    </row>
    <row r="4089" spans="1:2" x14ac:dyDescent="0.25">
      <c r="A4089" t="s">
        <v>6660</v>
      </c>
      <c r="B4089">
        <v>442356</v>
      </c>
    </row>
    <row r="4090" spans="1:2" x14ac:dyDescent="0.25">
      <c r="A4090" t="s">
        <v>6661</v>
      </c>
      <c r="B4090">
        <v>366252</v>
      </c>
    </row>
    <row r="4091" spans="1:2" x14ac:dyDescent="0.25">
      <c r="A4091" t="s">
        <v>6662</v>
      </c>
      <c r="B4091">
        <v>215008</v>
      </c>
    </row>
    <row r="4092" spans="1:2" x14ac:dyDescent="0.25">
      <c r="A4092" t="s">
        <v>6663</v>
      </c>
      <c r="B4092">
        <v>414911</v>
      </c>
    </row>
    <row r="4093" spans="1:2" x14ac:dyDescent="0.25">
      <c r="A4093" t="s">
        <v>6664</v>
      </c>
      <c r="B4093">
        <v>214582</v>
      </c>
    </row>
    <row r="4094" spans="1:2" x14ac:dyDescent="0.25">
      <c r="A4094" t="s">
        <v>6665</v>
      </c>
      <c r="B4094">
        <v>214661</v>
      </c>
    </row>
    <row r="4095" spans="1:2" x14ac:dyDescent="0.25">
      <c r="A4095" t="s">
        <v>6666</v>
      </c>
      <c r="B4095">
        <v>460914</v>
      </c>
    </row>
    <row r="4096" spans="1:2" x14ac:dyDescent="0.25">
      <c r="A4096" t="s">
        <v>6667</v>
      </c>
      <c r="B4096">
        <v>449533</v>
      </c>
    </row>
    <row r="4097" spans="1:2" x14ac:dyDescent="0.25">
      <c r="A4097" t="s">
        <v>6668</v>
      </c>
      <c r="B4097">
        <v>136473</v>
      </c>
    </row>
    <row r="4098" spans="1:2" x14ac:dyDescent="0.25">
      <c r="A4098" t="s">
        <v>6669</v>
      </c>
      <c r="B4098">
        <v>418199</v>
      </c>
    </row>
    <row r="4099" spans="1:2" x14ac:dyDescent="0.25">
      <c r="A4099" t="s">
        <v>6670</v>
      </c>
      <c r="B4099">
        <v>219842</v>
      </c>
    </row>
    <row r="4100" spans="1:2" x14ac:dyDescent="0.25">
      <c r="A4100" t="s">
        <v>6671</v>
      </c>
      <c r="B4100">
        <v>121150</v>
      </c>
    </row>
    <row r="4101" spans="1:2" x14ac:dyDescent="0.25">
      <c r="A4101" t="s">
        <v>6672</v>
      </c>
      <c r="B4101">
        <v>121178</v>
      </c>
    </row>
    <row r="4102" spans="1:2" x14ac:dyDescent="0.25">
      <c r="A4102" t="s">
        <v>6673</v>
      </c>
      <c r="B4102">
        <v>236212</v>
      </c>
    </row>
    <row r="4103" spans="1:2" x14ac:dyDescent="0.25">
      <c r="A4103" t="s">
        <v>6674</v>
      </c>
      <c r="B4103">
        <v>181534</v>
      </c>
    </row>
    <row r="4104" spans="1:2" x14ac:dyDescent="0.25">
      <c r="A4104" t="s">
        <v>6675</v>
      </c>
      <c r="B4104">
        <v>491534</v>
      </c>
    </row>
    <row r="4105" spans="1:2" x14ac:dyDescent="0.25">
      <c r="A4105" t="s">
        <v>6676</v>
      </c>
      <c r="B4105">
        <v>199306</v>
      </c>
    </row>
    <row r="4106" spans="1:2" x14ac:dyDescent="0.25">
      <c r="A4106" t="s">
        <v>6677</v>
      </c>
      <c r="B4106">
        <v>209667</v>
      </c>
    </row>
    <row r="4107" spans="1:2" x14ac:dyDescent="0.25">
      <c r="A4107" t="s">
        <v>6678</v>
      </c>
      <c r="B4107">
        <v>209676</v>
      </c>
    </row>
    <row r="4108" spans="1:2" x14ac:dyDescent="0.25">
      <c r="A4108" t="s">
        <v>6679</v>
      </c>
      <c r="B4108">
        <v>208859</v>
      </c>
    </row>
    <row r="4109" spans="1:2" x14ac:dyDescent="0.25">
      <c r="A4109" t="s">
        <v>6680</v>
      </c>
      <c r="B4109">
        <v>209153</v>
      </c>
    </row>
    <row r="4110" spans="1:2" x14ac:dyDescent="0.25">
      <c r="A4110" t="s">
        <v>6681</v>
      </c>
      <c r="B4110">
        <v>209694</v>
      </c>
    </row>
    <row r="4111" spans="1:2" x14ac:dyDescent="0.25">
      <c r="A4111" t="s">
        <v>6682</v>
      </c>
      <c r="B4111">
        <v>209700</v>
      </c>
    </row>
    <row r="4112" spans="1:2" x14ac:dyDescent="0.25">
      <c r="A4112" t="s">
        <v>6683</v>
      </c>
      <c r="B4112">
        <v>215123</v>
      </c>
    </row>
    <row r="4113" spans="1:2" x14ac:dyDescent="0.25">
      <c r="A4113" t="s">
        <v>6684</v>
      </c>
      <c r="B4113">
        <v>483823</v>
      </c>
    </row>
    <row r="4114" spans="1:2" x14ac:dyDescent="0.25">
      <c r="A4114" t="s">
        <v>6685</v>
      </c>
      <c r="B4114">
        <v>107600</v>
      </c>
    </row>
    <row r="4115" spans="1:2" x14ac:dyDescent="0.25">
      <c r="A4115" t="s">
        <v>6686</v>
      </c>
      <c r="B4115">
        <v>107619</v>
      </c>
    </row>
    <row r="4116" spans="1:2" x14ac:dyDescent="0.25">
      <c r="A4116" t="s">
        <v>6687</v>
      </c>
      <c r="B4116">
        <v>189282</v>
      </c>
    </row>
    <row r="4117" spans="1:2" x14ac:dyDescent="0.25">
      <c r="A4117" t="s">
        <v>6688</v>
      </c>
      <c r="B4117">
        <v>414966</v>
      </c>
    </row>
    <row r="4118" spans="1:2" x14ac:dyDescent="0.25">
      <c r="A4118" t="s">
        <v>6689</v>
      </c>
      <c r="B4118">
        <v>488396</v>
      </c>
    </row>
    <row r="4119" spans="1:2" x14ac:dyDescent="0.25">
      <c r="A4119" t="s">
        <v>6690</v>
      </c>
      <c r="B4119">
        <v>105428</v>
      </c>
    </row>
    <row r="4120" spans="1:2" x14ac:dyDescent="0.25">
      <c r="A4120" t="s">
        <v>6691</v>
      </c>
      <c r="B4120">
        <v>447698</v>
      </c>
    </row>
    <row r="4121" spans="1:2" x14ac:dyDescent="0.25">
      <c r="A4121" t="s">
        <v>6692</v>
      </c>
      <c r="B4121">
        <v>381459</v>
      </c>
    </row>
    <row r="4122" spans="1:2" x14ac:dyDescent="0.25">
      <c r="A4122" t="s">
        <v>6693</v>
      </c>
      <c r="B4122">
        <v>488147</v>
      </c>
    </row>
    <row r="4123" spans="1:2" x14ac:dyDescent="0.25">
      <c r="A4123" t="s">
        <v>6694</v>
      </c>
      <c r="B4123">
        <v>407513</v>
      </c>
    </row>
    <row r="4124" spans="1:2" x14ac:dyDescent="0.25">
      <c r="A4124" t="s">
        <v>6695</v>
      </c>
      <c r="B4124">
        <v>128151</v>
      </c>
    </row>
    <row r="4125" spans="1:2" x14ac:dyDescent="0.25">
      <c r="A4125" t="s">
        <v>6696</v>
      </c>
      <c r="B4125">
        <v>199324</v>
      </c>
    </row>
    <row r="4126" spans="1:2" x14ac:dyDescent="0.25">
      <c r="A4126" t="s">
        <v>6697</v>
      </c>
      <c r="B4126">
        <v>218520</v>
      </c>
    </row>
    <row r="4127" spans="1:2" x14ac:dyDescent="0.25">
      <c r="A4127" t="s">
        <v>6698</v>
      </c>
      <c r="B4127">
        <v>140818</v>
      </c>
    </row>
    <row r="4128" spans="1:2" x14ac:dyDescent="0.25">
      <c r="A4128" t="s">
        <v>6699</v>
      </c>
      <c r="B4128">
        <v>233116</v>
      </c>
    </row>
    <row r="4129" spans="1:2" x14ac:dyDescent="0.25">
      <c r="A4129" t="s">
        <v>6700</v>
      </c>
      <c r="B4129">
        <v>235237</v>
      </c>
    </row>
    <row r="4130" spans="1:2" x14ac:dyDescent="0.25">
      <c r="A4130" t="s">
        <v>6701</v>
      </c>
      <c r="B4130">
        <v>443492</v>
      </c>
    </row>
    <row r="4131" spans="1:2" x14ac:dyDescent="0.25">
      <c r="A4131" t="s">
        <v>6702</v>
      </c>
      <c r="B4131">
        <v>409537</v>
      </c>
    </row>
    <row r="4132" spans="1:2" x14ac:dyDescent="0.25">
      <c r="A4132" t="s">
        <v>6703</v>
      </c>
      <c r="B4132">
        <v>261773</v>
      </c>
    </row>
    <row r="4133" spans="1:2" x14ac:dyDescent="0.25">
      <c r="A4133" t="s">
        <v>6704</v>
      </c>
      <c r="B4133">
        <v>127820</v>
      </c>
    </row>
    <row r="4134" spans="1:2" x14ac:dyDescent="0.25">
      <c r="A4134" t="s">
        <v>6705</v>
      </c>
      <c r="B4134">
        <v>440794</v>
      </c>
    </row>
    <row r="4135" spans="1:2" x14ac:dyDescent="0.25">
      <c r="A4135" t="s">
        <v>6706</v>
      </c>
      <c r="B4135">
        <v>105525</v>
      </c>
    </row>
    <row r="4136" spans="1:2" x14ac:dyDescent="0.25">
      <c r="A4136" t="s">
        <v>6707</v>
      </c>
      <c r="B4136">
        <v>105543</v>
      </c>
    </row>
    <row r="4137" spans="1:2" x14ac:dyDescent="0.25">
      <c r="A4137" t="s">
        <v>6708</v>
      </c>
      <c r="B4137">
        <v>442967</v>
      </c>
    </row>
    <row r="4138" spans="1:2" x14ac:dyDescent="0.25">
      <c r="A4138" t="s">
        <v>6709</v>
      </c>
      <c r="B4138">
        <v>461689</v>
      </c>
    </row>
    <row r="4139" spans="1:2" x14ac:dyDescent="0.25">
      <c r="A4139" t="s">
        <v>6710</v>
      </c>
      <c r="B4139">
        <v>434140</v>
      </c>
    </row>
    <row r="4140" spans="1:2" x14ac:dyDescent="0.25">
      <c r="A4140" t="s">
        <v>6711</v>
      </c>
      <c r="B4140">
        <v>442134</v>
      </c>
    </row>
    <row r="4141" spans="1:2" x14ac:dyDescent="0.25">
      <c r="A4141" t="s">
        <v>6712</v>
      </c>
      <c r="B4141">
        <v>404912</v>
      </c>
    </row>
    <row r="4142" spans="1:2" x14ac:dyDescent="0.25">
      <c r="A4142" t="s">
        <v>6713</v>
      </c>
      <c r="B4142">
        <v>489812</v>
      </c>
    </row>
    <row r="4143" spans="1:2" x14ac:dyDescent="0.25">
      <c r="A4143" t="s">
        <v>6714</v>
      </c>
      <c r="B4143">
        <v>456038</v>
      </c>
    </row>
    <row r="4144" spans="1:2" x14ac:dyDescent="0.25">
      <c r="A4144" t="s">
        <v>6715</v>
      </c>
      <c r="B4144">
        <v>486813</v>
      </c>
    </row>
    <row r="4145" spans="1:2" x14ac:dyDescent="0.25">
      <c r="A4145" t="s">
        <v>6716</v>
      </c>
      <c r="B4145">
        <v>460136</v>
      </c>
    </row>
    <row r="4146" spans="1:2" x14ac:dyDescent="0.25">
      <c r="A4146" t="s">
        <v>6717</v>
      </c>
      <c r="B4146">
        <v>445230</v>
      </c>
    </row>
    <row r="4147" spans="1:2" x14ac:dyDescent="0.25">
      <c r="A4147" t="s">
        <v>6718</v>
      </c>
      <c r="B4147">
        <v>260691</v>
      </c>
    </row>
    <row r="4148" spans="1:2" x14ac:dyDescent="0.25">
      <c r="A4148" t="s">
        <v>6719</v>
      </c>
      <c r="B4148">
        <v>486822</v>
      </c>
    </row>
    <row r="4149" spans="1:2" x14ac:dyDescent="0.25">
      <c r="A4149" t="s">
        <v>6720</v>
      </c>
      <c r="B4149">
        <v>449074</v>
      </c>
    </row>
    <row r="4150" spans="1:2" x14ac:dyDescent="0.25">
      <c r="A4150" t="s">
        <v>6721</v>
      </c>
      <c r="B4150">
        <v>494588</v>
      </c>
    </row>
    <row r="4151" spans="1:2" x14ac:dyDescent="0.25">
      <c r="A4151" t="s">
        <v>6722</v>
      </c>
      <c r="B4151">
        <v>492449</v>
      </c>
    </row>
    <row r="4152" spans="1:2" x14ac:dyDescent="0.25">
      <c r="A4152" t="s">
        <v>6723</v>
      </c>
      <c r="B4152">
        <v>368629</v>
      </c>
    </row>
    <row r="4153" spans="1:2" x14ac:dyDescent="0.25">
      <c r="A4153" t="s">
        <v>6724</v>
      </c>
      <c r="B4153">
        <v>105534</v>
      </c>
    </row>
    <row r="4154" spans="1:2" x14ac:dyDescent="0.25">
      <c r="A4154" t="s">
        <v>6725</v>
      </c>
      <c r="B4154">
        <v>167455</v>
      </c>
    </row>
    <row r="4155" spans="1:2" x14ac:dyDescent="0.25">
      <c r="A4155" t="s">
        <v>6726</v>
      </c>
      <c r="B4155">
        <v>174570</v>
      </c>
    </row>
    <row r="4156" spans="1:2" x14ac:dyDescent="0.25">
      <c r="A4156" t="s">
        <v>6727</v>
      </c>
      <c r="B4156">
        <v>136491</v>
      </c>
    </row>
    <row r="4157" spans="1:2" x14ac:dyDescent="0.25">
      <c r="A4157" t="s">
        <v>6728</v>
      </c>
      <c r="B4157">
        <v>137087</v>
      </c>
    </row>
    <row r="4158" spans="1:2" x14ac:dyDescent="0.25">
      <c r="A4158" t="s">
        <v>6729</v>
      </c>
      <c r="B4158">
        <v>160199</v>
      </c>
    </row>
    <row r="4159" spans="1:2" x14ac:dyDescent="0.25">
      <c r="A4159" t="s">
        <v>6730</v>
      </c>
      <c r="B4159">
        <v>177302</v>
      </c>
    </row>
    <row r="4160" spans="1:2" x14ac:dyDescent="0.25">
      <c r="A4160" t="s">
        <v>6731</v>
      </c>
      <c r="B4160">
        <v>408163</v>
      </c>
    </row>
    <row r="4161" spans="1:2" x14ac:dyDescent="0.25">
      <c r="A4161" t="s">
        <v>6732</v>
      </c>
      <c r="B4161">
        <v>407522</v>
      </c>
    </row>
    <row r="4162" spans="1:2" x14ac:dyDescent="0.25">
      <c r="A4162" t="s">
        <v>6733</v>
      </c>
      <c r="B4162">
        <v>364627</v>
      </c>
    </row>
    <row r="4163" spans="1:2" x14ac:dyDescent="0.25">
      <c r="A4163" t="s">
        <v>6734</v>
      </c>
      <c r="B4163">
        <v>418913</v>
      </c>
    </row>
    <row r="4164" spans="1:2" x14ac:dyDescent="0.25">
      <c r="A4164" t="s">
        <v>6735</v>
      </c>
      <c r="B4164">
        <v>444811</v>
      </c>
    </row>
    <row r="4165" spans="1:2" x14ac:dyDescent="0.25">
      <c r="A4165" t="s">
        <v>6736</v>
      </c>
      <c r="B4165">
        <v>199333</v>
      </c>
    </row>
    <row r="4166" spans="1:2" x14ac:dyDescent="0.25">
      <c r="A4166" t="s">
        <v>6737</v>
      </c>
      <c r="B4166">
        <v>155681</v>
      </c>
    </row>
    <row r="4167" spans="1:2" x14ac:dyDescent="0.25">
      <c r="A4167" t="s">
        <v>6738</v>
      </c>
      <c r="B4167">
        <v>216782</v>
      </c>
    </row>
    <row r="4168" spans="1:2" x14ac:dyDescent="0.25">
      <c r="A4168" t="s">
        <v>6739</v>
      </c>
      <c r="B4168">
        <v>215381</v>
      </c>
    </row>
    <row r="4169" spans="1:2" x14ac:dyDescent="0.25">
      <c r="A4169" t="s">
        <v>6740</v>
      </c>
      <c r="B4169">
        <v>215390</v>
      </c>
    </row>
    <row r="4170" spans="1:2" x14ac:dyDescent="0.25">
      <c r="A4170" t="s">
        <v>6741</v>
      </c>
      <c r="B4170">
        <v>215415</v>
      </c>
    </row>
    <row r="4171" spans="1:2" x14ac:dyDescent="0.25">
      <c r="A4171" t="s">
        <v>6742</v>
      </c>
      <c r="B4171">
        <v>215424</v>
      </c>
    </row>
    <row r="4172" spans="1:2" x14ac:dyDescent="0.25">
      <c r="A4172" t="s">
        <v>6743</v>
      </c>
      <c r="B4172">
        <v>121257</v>
      </c>
    </row>
    <row r="4173" spans="1:2" x14ac:dyDescent="0.25">
      <c r="A4173" t="s">
        <v>6744</v>
      </c>
      <c r="B4173">
        <v>373216</v>
      </c>
    </row>
    <row r="4174" spans="1:2" x14ac:dyDescent="0.25">
      <c r="A4174" t="s">
        <v>6745</v>
      </c>
      <c r="B4174">
        <v>156310</v>
      </c>
    </row>
    <row r="4175" spans="1:2" x14ac:dyDescent="0.25">
      <c r="A4175" t="s">
        <v>6746</v>
      </c>
      <c r="B4175">
        <v>150853</v>
      </c>
    </row>
    <row r="4176" spans="1:2" x14ac:dyDescent="0.25">
      <c r="A4176" t="s">
        <v>6747</v>
      </c>
      <c r="B4176">
        <v>156754</v>
      </c>
    </row>
    <row r="4177" spans="1:2" x14ac:dyDescent="0.25">
      <c r="A4177" t="s">
        <v>6748</v>
      </c>
      <c r="B4177">
        <v>152150</v>
      </c>
    </row>
    <row r="4178" spans="1:2" x14ac:dyDescent="0.25">
      <c r="A4178" t="s">
        <v>6749</v>
      </c>
      <c r="B4178">
        <v>490878</v>
      </c>
    </row>
    <row r="4179" spans="1:2" x14ac:dyDescent="0.25">
      <c r="A4179" t="s">
        <v>6750</v>
      </c>
      <c r="B4179">
        <v>260813</v>
      </c>
    </row>
    <row r="4180" spans="1:2" x14ac:dyDescent="0.25">
      <c r="A4180" t="s">
        <v>6751</v>
      </c>
      <c r="B4180">
        <v>260789</v>
      </c>
    </row>
    <row r="4181" spans="1:2" x14ac:dyDescent="0.25">
      <c r="A4181" t="s">
        <v>6752</v>
      </c>
      <c r="B4181">
        <v>432384</v>
      </c>
    </row>
    <row r="4182" spans="1:2" x14ac:dyDescent="0.25">
      <c r="A4182" t="s">
        <v>6753</v>
      </c>
      <c r="B4182">
        <v>480204</v>
      </c>
    </row>
    <row r="4183" spans="1:2" x14ac:dyDescent="0.25">
      <c r="A4183" t="s">
        <v>6754</v>
      </c>
      <c r="B4183">
        <v>121275</v>
      </c>
    </row>
    <row r="4184" spans="1:2" x14ac:dyDescent="0.25">
      <c r="A4184" t="s">
        <v>6755</v>
      </c>
      <c r="B4184">
        <v>194499</v>
      </c>
    </row>
    <row r="4185" spans="1:2" x14ac:dyDescent="0.25">
      <c r="A4185" t="s">
        <v>6756</v>
      </c>
      <c r="B4185">
        <v>183080</v>
      </c>
    </row>
    <row r="4186" spans="1:2" x14ac:dyDescent="0.25">
      <c r="A4186" t="s">
        <v>6757</v>
      </c>
      <c r="B4186">
        <v>493576</v>
      </c>
    </row>
    <row r="4187" spans="1:2" x14ac:dyDescent="0.25">
      <c r="A4187" t="s">
        <v>6758</v>
      </c>
      <c r="B4187">
        <v>121309</v>
      </c>
    </row>
    <row r="4188" spans="1:2" x14ac:dyDescent="0.25">
      <c r="A4188" t="s">
        <v>6759</v>
      </c>
      <c r="B4188">
        <v>215442</v>
      </c>
    </row>
    <row r="4189" spans="1:2" x14ac:dyDescent="0.25">
      <c r="A4189" t="s">
        <v>6760</v>
      </c>
      <c r="B4189">
        <v>138868</v>
      </c>
    </row>
    <row r="4190" spans="1:2" x14ac:dyDescent="0.25">
      <c r="A4190" t="s">
        <v>6761</v>
      </c>
      <c r="B4190">
        <v>390905</v>
      </c>
    </row>
    <row r="4191" spans="1:2" x14ac:dyDescent="0.25">
      <c r="A4191" t="s">
        <v>6762</v>
      </c>
      <c r="B4191">
        <v>136516</v>
      </c>
    </row>
    <row r="4192" spans="1:2" x14ac:dyDescent="0.25">
      <c r="A4192" t="s">
        <v>6763</v>
      </c>
      <c r="B4192">
        <v>491473</v>
      </c>
    </row>
    <row r="4193" spans="1:2" x14ac:dyDescent="0.25">
      <c r="A4193" t="s">
        <v>6764</v>
      </c>
      <c r="B4193">
        <v>456481</v>
      </c>
    </row>
    <row r="4194" spans="1:2" x14ac:dyDescent="0.25">
      <c r="A4194" t="s">
        <v>6765</v>
      </c>
      <c r="B4194">
        <v>456490</v>
      </c>
    </row>
    <row r="4195" spans="1:2" x14ac:dyDescent="0.25">
      <c r="A4195" t="s">
        <v>6766</v>
      </c>
      <c r="B4195">
        <v>190451</v>
      </c>
    </row>
    <row r="4196" spans="1:2" x14ac:dyDescent="0.25">
      <c r="A4196" t="s">
        <v>6767</v>
      </c>
      <c r="B4196">
        <v>121345</v>
      </c>
    </row>
    <row r="4197" spans="1:2" x14ac:dyDescent="0.25">
      <c r="A4197" t="s">
        <v>6768</v>
      </c>
      <c r="B4197">
        <v>372082</v>
      </c>
    </row>
    <row r="4198" spans="1:2" x14ac:dyDescent="0.25">
      <c r="A4198" t="s">
        <v>6769</v>
      </c>
      <c r="B4198">
        <v>245980</v>
      </c>
    </row>
    <row r="4199" spans="1:2" x14ac:dyDescent="0.25">
      <c r="A4199" t="s">
        <v>6770</v>
      </c>
      <c r="B4199">
        <v>243081</v>
      </c>
    </row>
    <row r="4200" spans="1:2" x14ac:dyDescent="0.25">
      <c r="A4200" t="s">
        <v>6771</v>
      </c>
      <c r="B4200">
        <v>492704</v>
      </c>
    </row>
    <row r="4201" spans="1:2" x14ac:dyDescent="0.25">
      <c r="A4201" t="s">
        <v>6772</v>
      </c>
      <c r="B4201">
        <v>494807</v>
      </c>
    </row>
    <row r="4202" spans="1:2" x14ac:dyDescent="0.25">
      <c r="A4202" t="s">
        <v>6773</v>
      </c>
      <c r="B4202">
        <v>494010</v>
      </c>
    </row>
    <row r="4203" spans="1:2" x14ac:dyDescent="0.25">
      <c r="A4203" t="s">
        <v>6774</v>
      </c>
      <c r="B4203">
        <v>241395</v>
      </c>
    </row>
    <row r="4204" spans="1:2" x14ac:dyDescent="0.25">
      <c r="A4204" t="s">
        <v>6775</v>
      </c>
      <c r="B4204">
        <v>243586</v>
      </c>
    </row>
    <row r="4205" spans="1:2" x14ac:dyDescent="0.25">
      <c r="A4205" t="s">
        <v>6776</v>
      </c>
      <c r="B4205">
        <v>241410</v>
      </c>
    </row>
    <row r="4206" spans="1:2" x14ac:dyDescent="0.25">
      <c r="A4206" t="s">
        <v>6777</v>
      </c>
      <c r="B4206">
        <v>205027</v>
      </c>
    </row>
    <row r="4207" spans="1:2" x14ac:dyDescent="0.25">
      <c r="A4207" t="s">
        <v>6778</v>
      </c>
      <c r="B4207">
        <v>131405</v>
      </c>
    </row>
    <row r="4208" spans="1:2" x14ac:dyDescent="0.25">
      <c r="A4208" t="s">
        <v>6779</v>
      </c>
      <c r="B4208">
        <v>455813</v>
      </c>
    </row>
    <row r="4209" spans="1:2" x14ac:dyDescent="0.25">
      <c r="A4209" t="s">
        <v>6780</v>
      </c>
      <c r="B4209">
        <v>206905</v>
      </c>
    </row>
    <row r="4210" spans="1:2" x14ac:dyDescent="0.25">
      <c r="A4210" t="s">
        <v>6781</v>
      </c>
      <c r="B4210">
        <v>167464</v>
      </c>
    </row>
    <row r="4211" spans="1:2" x14ac:dyDescent="0.25">
      <c r="A4211" t="s">
        <v>6782</v>
      </c>
      <c r="B4211">
        <v>178828</v>
      </c>
    </row>
    <row r="4212" spans="1:2" x14ac:dyDescent="0.25">
      <c r="A4212" t="s">
        <v>6783</v>
      </c>
      <c r="B4212">
        <v>171775</v>
      </c>
    </row>
    <row r="4213" spans="1:2" x14ac:dyDescent="0.25">
      <c r="A4213" t="s">
        <v>6784</v>
      </c>
      <c r="B4213">
        <v>364636</v>
      </c>
    </row>
    <row r="4214" spans="1:2" x14ac:dyDescent="0.25">
      <c r="A4214" t="s">
        <v>6785</v>
      </c>
      <c r="B4214">
        <v>130174</v>
      </c>
    </row>
    <row r="4215" spans="1:2" x14ac:dyDescent="0.25">
      <c r="A4215" t="s">
        <v>8832</v>
      </c>
      <c r="B4215">
        <v>467687</v>
      </c>
    </row>
    <row r="4216" spans="1:2" x14ac:dyDescent="0.25">
      <c r="A4216" t="s">
        <v>6786</v>
      </c>
      <c r="B4216">
        <v>129002</v>
      </c>
    </row>
    <row r="4217" spans="1:2" x14ac:dyDescent="0.25">
      <c r="A4217" t="s">
        <v>6787</v>
      </c>
      <c r="B4217">
        <v>121363</v>
      </c>
    </row>
    <row r="4218" spans="1:2" x14ac:dyDescent="0.25">
      <c r="A4218" t="s">
        <v>6788</v>
      </c>
      <c r="B4218">
        <v>457925</v>
      </c>
    </row>
    <row r="4219" spans="1:2" x14ac:dyDescent="0.25">
      <c r="A4219" t="s">
        <v>6789</v>
      </c>
      <c r="B4219">
        <v>209746</v>
      </c>
    </row>
    <row r="4220" spans="1:2" x14ac:dyDescent="0.25">
      <c r="A4220" t="s">
        <v>6790</v>
      </c>
      <c r="B4220">
        <v>209807</v>
      </c>
    </row>
    <row r="4221" spans="1:2" x14ac:dyDescent="0.25">
      <c r="A4221" t="s">
        <v>6791</v>
      </c>
      <c r="B4221">
        <v>130183</v>
      </c>
    </row>
    <row r="4222" spans="1:2" x14ac:dyDescent="0.25">
      <c r="A4222" t="s">
        <v>6792</v>
      </c>
      <c r="B4222">
        <v>237701</v>
      </c>
    </row>
    <row r="4223" spans="1:2" x14ac:dyDescent="0.25">
      <c r="A4223" t="s">
        <v>6793</v>
      </c>
      <c r="B4223">
        <v>492315</v>
      </c>
    </row>
    <row r="4224" spans="1:2" x14ac:dyDescent="0.25">
      <c r="A4224" t="s">
        <v>6794</v>
      </c>
      <c r="B4224">
        <v>486576</v>
      </c>
    </row>
    <row r="4225" spans="1:2" x14ac:dyDescent="0.25">
      <c r="A4225" t="s">
        <v>6795</v>
      </c>
      <c r="B4225">
        <v>148007</v>
      </c>
    </row>
    <row r="4226" spans="1:2" x14ac:dyDescent="0.25">
      <c r="A4226" t="s">
        <v>6796</v>
      </c>
      <c r="B4226">
        <v>227526</v>
      </c>
    </row>
    <row r="4227" spans="1:2" x14ac:dyDescent="0.25">
      <c r="A4227" t="s">
        <v>6797</v>
      </c>
      <c r="B4227">
        <v>155715</v>
      </c>
    </row>
    <row r="4228" spans="1:2" x14ac:dyDescent="0.25">
      <c r="A4228" t="s">
        <v>6798</v>
      </c>
      <c r="B4228">
        <v>194578</v>
      </c>
    </row>
    <row r="4229" spans="1:2" x14ac:dyDescent="0.25">
      <c r="A4229" t="s">
        <v>6799</v>
      </c>
      <c r="B4229">
        <v>430582</v>
      </c>
    </row>
    <row r="4230" spans="1:2" x14ac:dyDescent="0.25">
      <c r="A4230" t="s">
        <v>6800</v>
      </c>
      <c r="B4230">
        <v>446455</v>
      </c>
    </row>
    <row r="4231" spans="1:2" x14ac:dyDescent="0.25">
      <c r="A4231" t="s">
        <v>6801</v>
      </c>
      <c r="B4231">
        <v>493691</v>
      </c>
    </row>
    <row r="4232" spans="1:2" x14ac:dyDescent="0.25">
      <c r="A4232" t="s">
        <v>6802</v>
      </c>
      <c r="B4232">
        <v>488369</v>
      </c>
    </row>
    <row r="4233" spans="1:2" x14ac:dyDescent="0.25">
      <c r="A4233" t="s">
        <v>6803</v>
      </c>
      <c r="B4233">
        <v>495262</v>
      </c>
    </row>
    <row r="4234" spans="1:2" x14ac:dyDescent="0.25">
      <c r="A4234" t="s">
        <v>6804</v>
      </c>
      <c r="B4234">
        <v>416458</v>
      </c>
    </row>
    <row r="4235" spans="1:2" x14ac:dyDescent="0.25">
      <c r="A4235" t="s">
        <v>6805</v>
      </c>
      <c r="B4235">
        <v>493488</v>
      </c>
    </row>
    <row r="4236" spans="1:2" x14ac:dyDescent="0.25">
      <c r="A4236" t="s">
        <v>6806</v>
      </c>
      <c r="B4236">
        <v>218539</v>
      </c>
    </row>
    <row r="4237" spans="1:2" x14ac:dyDescent="0.25">
      <c r="A4237" t="s">
        <v>6807</v>
      </c>
      <c r="B4237">
        <v>490045</v>
      </c>
    </row>
    <row r="4238" spans="1:2" x14ac:dyDescent="0.25">
      <c r="A4238" t="s">
        <v>6808</v>
      </c>
      <c r="B4238">
        <v>105589</v>
      </c>
    </row>
    <row r="4239" spans="1:2" x14ac:dyDescent="0.25">
      <c r="A4239" t="s">
        <v>6809</v>
      </c>
      <c r="B4239">
        <v>219295</v>
      </c>
    </row>
    <row r="4240" spans="1:2" x14ac:dyDescent="0.25">
      <c r="A4240" t="s">
        <v>6810</v>
      </c>
      <c r="B4240">
        <v>486433</v>
      </c>
    </row>
    <row r="4241" spans="1:2" x14ac:dyDescent="0.25">
      <c r="A4241" t="s">
        <v>6811</v>
      </c>
      <c r="B4241">
        <v>481368</v>
      </c>
    </row>
    <row r="4242" spans="1:2" x14ac:dyDescent="0.25">
      <c r="A4242" t="s">
        <v>6812</v>
      </c>
      <c r="B4242">
        <v>163657</v>
      </c>
    </row>
    <row r="4243" spans="1:2" x14ac:dyDescent="0.25">
      <c r="A4243" t="s">
        <v>6813</v>
      </c>
      <c r="B4243">
        <v>491853</v>
      </c>
    </row>
    <row r="4244" spans="1:2" x14ac:dyDescent="0.25">
      <c r="A4244" t="s">
        <v>6814</v>
      </c>
      <c r="B4244">
        <v>186122</v>
      </c>
    </row>
    <row r="4245" spans="1:2" x14ac:dyDescent="0.25">
      <c r="A4245" t="s">
        <v>6815</v>
      </c>
      <c r="B4245">
        <v>186131</v>
      </c>
    </row>
    <row r="4246" spans="1:2" x14ac:dyDescent="0.25">
      <c r="A4246" t="s">
        <v>6816</v>
      </c>
      <c r="B4246">
        <v>148016</v>
      </c>
    </row>
    <row r="4247" spans="1:2" x14ac:dyDescent="0.25">
      <c r="A4247" t="s">
        <v>6817</v>
      </c>
      <c r="B4247">
        <v>420130</v>
      </c>
    </row>
    <row r="4248" spans="1:2" x14ac:dyDescent="0.25">
      <c r="A4248" t="s">
        <v>6818</v>
      </c>
      <c r="B4248">
        <v>417840</v>
      </c>
    </row>
    <row r="4249" spans="1:2" x14ac:dyDescent="0.25">
      <c r="A4249" t="s">
        <v>6819</v>
      </c>
      <c r="B4249">
        <v>430403</v>
      </c>
    </row>
    <row r="4250" spans="1:2" x14ac:dyDescent="0.25">
      <c r="A4250" t="s">
        <v>6820</v>
      </c>
      <c r="B4250">
        <v>493628</v>
      </c>
    </row>
    <row r="4251" spans="1:2" x14ac:dyDescent="0.25">
      <c r="A4251" t="s">
        <v>6821</v>
      </c>
      <c r="B4251">
        <v>139506</v>
      </c>
    </row>
    <row r="4252" spans="1:2" x14ac:dyDescent="0.25">
      <c r="A4252" t="s">
        <v>6822</v>
      </c>
      <c r="B4252">
        <v>486105</v>
      </c>
    </row>
    <row r="4253" spans="1:2" x14ac:dyDescent="0.25">
      <c r="A4253" t="s">
        <v>6823</v>
      </c>
      <c r="B4253">
        <v>107655</v>
      </c>
    </row>
    <row r="4254" spans="1:2" x14ac:dyDescent="0.25">
      <c r="A4254" t="s">
        <v>6824</v>
      </c>
      <c r="B4254">
        <v>495138</v>
      </c>
    </row>
    <row r="4255" spans="1:2" x14ac:dyDescent="0.25">
      <c r="A4255" t="s">
        <v>6825</v>
      </c>
      <c r="B4255">
        <v>437750</v>
      </c>
    </row>
    <row r="4256" spans="1:2" x14ac:dyDescent="0.25">
      <c r="A4256" t="s">
        <v>6826</v>
      </c>
      <c r="B4256">
        <v>121433</v>
      </c>
    </row>
    <row r="4257" spans="1:2" x14ac:dyDescent="0.25">
      <c r="A4257" t="s">
        <v>6827</v>
      </c>
      <c r="B4257">
        <v>205054</v>
      </c>
    </row>
    <row r="4258" spans="1:2" x14ac:dyDescent="0.25">
      <c r="A4258" t="s">
        <v>6828</v>
      </c>
      <c r="B4258">
        <v>409193</v>
      </c>
    </row>
    <row r="4259" spans="1:2" x14ac:dyDescent="0.25">
      <c r="A4259" t="s">
        <v>6829</v>
      </c>
      <c r="B4259">
        <v>148098</v>
      </c>
    </row>
    <row r="4260" spans="1:2" x14ac:dyDescent="0.25">
      <c r="A4260" t="s">
        <v>6830</v>
      </c>
      <c r="B4260">
        <v>457466</v>
      </c>
    </row>
    <row r="4261" spans="1:2" x14ac:dyDescent="0.25">
      <c r="A4261" t="s">
        <v>6831</v>
      </c>
      <c r="B4261">
        <v>461944</v>
      </c>
    </row>
    <row r="4262" spans="1:2" x14ac:dyDescent="0.25">
      <c r="A4262" t="s">
        <v>6831</v>
      </c>
      <c r="B4262">
        <v>487083</v>
      </c>
    </row>
    <row r="4263" spans="1:2" x14ac:dyDescent="0.25">
      <c r="A4263" t="s">
        <v>6832</v>
      </c>
      <c r="B4263">
        <v>455770</v>
      </c>
    </row>
    <row r="4264" spans="1:2" x14ac:dyDescent="0.25">
      <c r="A4264" t="s">
        <v>6833</v>
      </c>
      <c r="B4264">
        <v>217402</v>
      </c>
    </row>
    <row r="4265" spans="1:2" x14ac:dyDescent="0.25">
      <c r="A4265" t="s">
        <v>6834</v>
      </c>
      <c r="B4265">
        <v>380438</v>
      </c>
    </row>
    <row r="4266" spans="1:2" x14ac:dyDescent="0.25">
      <c r="A4266" t="s">
        <v>6835</v>
      </c>
      <c r="B4266">
        <v>496283</v>
      </c>
    </row>
    <row r="4267" spans="1:2" x14ac:dyDescent="0.25">
      <c r="A4267" t="s">
        <v>6836</v>
      </c>
      <c r="B4267">
        <v>127884</v>
      </c>
    </row>
    <row r="4268" spans="1:2" x14ac:dyDescent="0.25">
      <c r="A4268" t="s">
        <v>6837</v>
      </c>
      <c r="B4268">
        <v>493673</v>
      </c>
    </row>
    <row r="4269" spans="1:2" x14ac:dyDescent="0.25">
      <c r="A4269" t="s">
        <v>6838</v>
      </c>
      <c r="B4269">
        <v>151102</v>
      </c>
    </row>
    <row r="4270" spans="1:2" x14ac:dyDescent="0.25">
      <c r="A4270" t="s">
        <v>6839</v>
      </c>
      <c r="B4270">
        <v>489779</v>
      </c>
    </row>
    <row r="4271" spans="1:2" x14ac:dyDescent="0.25">
      <c r="A4271" t="s">
        <v>6840</v>
      </c>
      <c r="B4271">
        <v>490805</v>
      </c>
    </row>
    <row r="4272" spans="1:2" x14ac:dyDescent="0.25">
      <c r="A4272" t="s">
        <v>6841</v>
      </c>
      <c r="B4272">
        <v>243780</v>
      </c>
    </row>
    <row r="4273" spans="1:2" x14ac:dyDescent="0.25">
      <c r="A4273" t="s">
        <v>6842</v>
      </c>
      <c r="B4273">
        <v>461713</v>
      </c>
    </row>
    <row r="4274" spans="1:2" x14ac:dyDescent="0.25">
      <c r="A4274" t="s">
        <v>6843</v>
      </c>
      <c r="B4274">
        <v>419420</v>
      </c>
    </row>
    <row r="4275" spans="1:2" x14ac:dyDescent="0.25">
      <c r="A4275" t="s">
        <v>6844</v>
      </c>
      <c r="B4275">
        <v>418764</v>
      </c>
    </row>
    <row r="4276" spans="1:2" x14ac:dyDescent="0.25">
      <c r="A4276" t="s">
        <v>6845</v>
      </c>
      <c r="B4276">
        <v>376677</v>
      </c>
    </row>
    <row r="4277" spans="1:2" x14ac:dyDescent="0.25">
      <c r="A4277" t="s">
        <v>6846</v>
      </c>
      <c r="B4277">
        <v>199412</v>
      </c>
    </row>
    <row r="4278" spans="1:2" x14ac:dyDescent="0.25">
      <c r="A4278" t="s">
        <v>6847</v>
      </c>
      <c r="B4278">
        <v>439507</v>
      </c>
    </row>
    <row r="4279" spans="1:2" x14ac:dyDescent="0.25">
      <c r="A4279" t="s">
        <v>6848</v>
      </c>
      <c r="B4279">
        <v>167525</v>
      </c>
    </row>
    <row r="4280" spans="1:2" x14ac:dyDescent="0.25">
      <c r="A4280" t="s">
        <v>6849</v>
      </c>
      <c r="B4280">
        <v>148131</v>
      </c>
    </row>
    <row r="4281" spans="1:2" x14ac:dyDescent="0.25">
      <c r="A4281" t="s">
        <v>6850</v>
      </c>
      <c r="B4281">
        <v>130217</v>
      </c>
    </row>
    <row r="4282" spans="1:2" x14ac:dyDescent="0.25">
      <c r="A4282" t="s">
        <v>6851</v>
      </c>
      <c r="B4282">
        <v>130226</v>
      </c>
    </row>
    <row r="4283" spans="1:2" x14ac:dyDescent="0.25">
      <c r="A4283" t="s">
        <v>6852</v>
      </c>
      <c r="B4283">
        <v>167534</v>
      </c>
    </row>
    <row r="4284" spans="1:2" x14ac:dyDescent="0.25">
      <c r="A4284" t="s">
        <v>6853</v>
      </c>
      <c r="B4284">
        <v>384421</v>
      </c>
    </row>
    <row r="4285" spans="1:2" x14ac:dyDescent="0.25">
      <c r="A4285" t="s">
        <v>6854</v>
      </c>
      <c r="B4285">
        <v>194657</v>
      </c>
    </row>
    <row r="4286" spans="1:2" x14ac:dyDescent="0.25">
      <c r="A4286" t="s">
        <v>6855</v>
      </c>
      <c r="B4286">
        <v>194693</v>
      </c>
    </row>
    <row r="4287" spans="1:2" x14ac:dyDescent="0.25">
      <c r="A4287" t="s">
        <v>6856</v>
      </c>
      <c r="B4287">
        <v>194666</v>
      </c>
    </row>
    <row r="4288" spans="1:2" x14ac:dyDescent="0.25">
      <c r="A4288" t="s">
        <v>6857</v>
      </c>
      <c r="B4288">
        <v>186186</v>
      </c>
    </row>
    <row r="4289" spans="1:2" x14ac:dyDescent="0.25">
      <c r="A4289" t="s">
        <v>6858</v>
      </c>
      <c r="B4289">
        <v>194736</v>
      </c>
    </row>
    <row r="4290" spans="1:2" x14ac:dyDescent="0.25">
      <c r="A4290" t="s">
        <v>6859</v>
      </c>
      <c r="B4290">
        <v>405854</v>
      </c>
    </row>
    <row r="4291" spans="1:2" x14ac:dyDescent="0.25">
      <c r="A4291" t="s">
        <v>6860</v>
      </c>
      <c r="B4291">
        <v>484871</v>
      </c>
    </row>
    <row r="4292" spans="1:2" x14ac:dyDescent="0.25">
      <c r="A4292" t="s">
        <v>6861</v>
      </c>
      <c r="B4292">
        <v>205124</v>
      </c>
    </row>
    <row r="4293" spans="1:2" x14ac:dyDescent="0.25">
      <c r="A4293" t="s">
        <v>6862</v>
      </c>
      <c r="B4293">
        <v>194718</v>
      </c>
    </row>
    <row r="4294" spans="1:2" x14ac:dyDescent="0.25">
      <c r="A4294" t="s">
        <v>6863</v>
      </c>
      <c r="B4294">
        <v>194763</v>
      </c>
    </row>
    <row r="4295" spans="1:2" x14ac:dyDescent="0.25">
      <c r="A4295" t="s">
        <v>6864</v>
      </c>
      <c r="B4295">
        <v>136659</v>
      </c>
    </row>
    <row r="4296" spans="1:2" x14ac:dyDescent="0.25">
      <c r="A4296" t="s">
        <v>6865</v>
      </c>
      <c r="B4296">
        <v>233277</v>
      </c>
    </row>
    <row r="4297" spans="1:2" x14ac:dyDescent="0.25">
      <c r="A4297" t="s">
        <v>6866</v>
      </c>
      <c r="B4297">
        <v>174604</v>
      </c>
    </row>
    <row r="4298" spans="1:2" x14ac:dyDescent="0.25">
      <c r="A4298" t="s">
        <v>6867</v>
      </c>
      <c r="B4298">
        <v>237491</v>
      </c>
    </row>
    <row r="4299" spans="1:2" x14ac:dyDescent="0.25">
      <c r="A4299" t="s">
        <v>6868</v>
      </c>
      <c r="B4299">
        <v>186201</v>
      </c>
    </row>
    <row r="4300" spans="1:2" x14ac:dyDescent="0.25">
      <c r="A4300" t="s">
        <v>6869</v>
      </c>
      <c r="B4300">
        <v>438665</v>
      </c>
    </row>
    <row r="4301" spans="1:2" x14ac:dyDescent="0.25">
      <c r="A4301" t="s">
        <v>6870</v>
      </c>
      <c r="B4301">
        <v>207157</v>
      </c>
    </row>
    <row r="4302" spans="1:2" x14ac:dyDescent="0.25">
      <c r="A4302" t="s">
        <v>6871</v>
      </c>
      <c r="B4302">
        <v>233301</v>
      </c>
    </row>
    <row r="4303" spans="1:2" x14ac:dyDescent="0.25">
      <c r="A4303" t="s">
        <v>6872</v>
      </c>
      <c r="B4303">
        <v>199421</v>
      </c>
    </row>
    <row r="4304" spans="1:2" x14ac:dyDescent="0.25">
      <c r="A4304" t="s">
        <v>6873</v>
      </c>
      <c r="B4304">
        <v>486406</v>
      </c>
    </row>
    <row r="4305" spans="1:2" x14ac:dyDescent="0.25">
      <c r="A4305" t="s">
        <v>6874</v>
      </c>
      <c r="B4305">
        <v>233295</v>
      </c>
    </row>
    <row r="4306" spans="1:2" x14ac:dyDescent="0.25">
      <c r="A4306" t="s">
        <v>6875</v>
      </c>
      <c r="B4306">
        <v>227687</v>
      </c>
    </row>
    <row r="4307" spans="1:2" x14ac:dyDescent="0.25">
      <c r="A4307" t="s">
        <v>6876</v>
      </c>
      <c r="B4307">
        <v>178891</v>
      </c>
    </row>
    <row r="4308" spans="1:2" x14ac:dyDescent="0.25">
      <c r="A4308" t="s">
        <v>6877</v>
      </c>
      <c r="B4308">
        <v>363147</v>
      </c>
    </row>
    <row r="4309" spans="1:2" x14ac:dyDescent="0.25">
      <c r="A4309" t="s">
        <v>6878</v>
      </c>
      <c r="B4309">
        <v>407568</v>
      </c>
    </row>
    <row r="4310" spans="1:2" x14ac:dyDescent="0.25">
      <c r="A4310" t="s">
        <v>6879</v>
      </c>
      <c r="B4310">
        <v>363882</v>
      </c>
    </row>
    <row r="4311" spans="1:2" x14ac:dyDescent="0.25">
      <c r="A4311" t="s">
        <v>6880</v>
      </c>
      <c r="B4311">
        <v>205142</v>
      </c>
    </row>
    <row r="4312" spans="1:2" x14ac:dyDescent="0.25">
      <c r="A4312" t="s">
        <v>6881</v>
      </c>
      <c r="B4312">
        <v>233310</v>
      </c>
    </row>
    <row r="4313" spans="1:2" x14ac:dyDescent="0.25">
      <c r="A4313" t="s">
        <v>6882</v>
      </c>
      <c r="B4313">
        <v>186645</v>
      </c>
    </row>
    <row r="4314" spans="1:2" x14ac:dyDescent="0.25">
      <c r="A4314" t="s">
        <v>8833</v>
      </c>
      <c r="B4314">
        <v>497134</v>
      </c>
    </row>
    <row r="4315" spans="1:2" x14ac:dyDescent="0.25">
      <c r="A4315" t="s">
        <v>6883</v>
      </c>
      <c r="B4315">
        <v>138309</v>
      </c>
    </row>
    <row r="4316" spans="1:2" x14ac:dyDescent="0.25">
      <c r="A4316" t="s">
        <v>6884</v>
      </c>
      <c r="B4316">
        <v>448673</v>
      </c>
    </row>
    <row r="4317" spans="1:2" x14ac:dyDescent="0.25">
      <c r="A4317" t="s">
        <v>6885</v>
      </c>
      <c r="B4317">
        <v>480657</v>
      </c>
    </row>
    <row r="4318" spans="1:2" x14ac:dyDescent="0.25">
      <c r="A4318" t="s">
        <v>6886</v>
      </c>
      <c r="B4318">
        <v>175014</v>
      </c>
    </row>
    <row r="4319" spans="1:2" x14ac:dyDescent="0.25">
      <c r="A4319" t="s">
        <v>6887</v>
      </c>
      <c r="B4319">
        <v>200013</v>
      </c>
    </row>
    <row r="4320" spans="1:2" x14ac:dyDescent="0.25">
      <c r="A4320" t="s">
        <v>6888</v>
      </c>
      <c r="B4320">
        <v>450571</v>
      </c>
    </row>
    <row r="4321" spans="1:2" x14ac:dyDescent="0.25">
      <c r="A4321" t="s">
        <v>6889</v>
      </c>
      <c r="B4321">
        <v>152275</v>
      </c>
    </row>
    <row r="4322" spans="1:2" x14ac:dyDescent="0.25">
      <c r="A4322" t="s">
        <v>6890</v>
      </c>
      <c r="B4322">
        <v>490531</v>
      </c>
    </row>
    <row r="4323" spans="1:2" x14ac:dyDescent="0.25">
      <c r="A4323" t="s">
        <v>6891</v>
      </c>
      <c r="B4323">
        <v>215585</v>
      </c>
    </row>
    <row r="4324" spans="1:2" x14ac:dyDescent="0.25">
      <c r="A4324" t="s">
        <v>6892</v>
      </c>
      <c r="B4324">
        <v>215594</v>
      </c>
    </row>
    <row r="4325" spans="1:2" x14ac:dyDescent="0.25">
      <c r="A4325" t="s">
        <v>6893</v>
      </c>
      <c r="B4325">
        <v>215619</v>
      </c>
    </row>
    <row r="4326" spans="1:2" x14ac:dyDescent="0.25">
      <c r="A4326" t="s">
        <v>6894</v>
      </c>
      <c r="B4326">
        <v>491844</v>
      </c>
    </row>
    <row r="4327" spans="1:2" x14ac:dyDescent="0.25">
      <c r="A4327" t="s">
        <v>6895</v>
      </c>
      <c r="B4327">
        <v>250993</v>
      </c>
    </row>
    <row r="4328" spans="1:2" x14ac:dyDescent="0.25">
      <c r="A4328" t="s">
        <v>6896</v>
      </c>
      <c r="B4328">
        <v>127909</v>
      </c>
    </row>
    <row r="4329" spans="1:2" x14ac:dyDescent="0.25">
      <c r="A4329" t="s">
        <v>6897</v>
      </c>
      <c r="B4329">
        <v>207069</v>
      </c>
    </row>
    <row r="4330" spans="1:2" x14ac:dyDescent="0.25">
      <c r="A4330" t="s">
        <v>6898</v>
      </c>
      <c r="B4330">
        <v>114637</v>
      </c>
    </row>
    <row r="4331" spans="1:2" x14ac:dyDescent="0.25">
      <c r="A4331" t="s">
        <v>6899</v>
      </c>
      <c r="B4331">
        <v>209922</v>
      </c>
    </row>
    <row r="4332" spans="1:2" x14ac:dyDescent="0.25">
      <c r="A4332" t="s">
        <v>6900</v>
      </c>
      <c r="B4332">
        <v>117052</v>
      </c>
    </row>
    <row r="4333" spans="1:2" x14ac:dyDescent="0.25">
      <c r="A4333" t="s">
        <v>6901</v>
      </c>
      <c r="B4333">
        <v>475653</v>
      </c>
    </row>
    <row r="4334" spans="1:2" x14ac:dyDescent="0.25">
      <c r="A4334" t="s">
        <v>6902</v>
      </c>
      <c r="B4334">
        <v>490230</v>
      </c>
    </row>
    <row r="4335" spans="1:2" x14ac:dyDescent="0.25">
      <c r="A4335" t="s">
        <v>6903</v>
      </c>
      <c r="B4335">
        <v>105659</v>
      </c>
    </row>
    <row r="4336" spans="1:2" x14ac:dyDescent="0.25">
      <c r="A4336" t="s">
        <v>6904</v>
      </c>
      <c r="B4336">
        <v>490197</v>
      </c>
    </row>
    <row r="4337" spans="1:2" x14ac:dyDescent="0.25">
      <c r="A4337" t="s">
        <v>6905</v>
      </c>
      <c r="B4337">
        <v>231651</v>
      </c>
    </row>
    <row r="4338" spans="1:2" x14ac:dyDescent="0.25">
      <c r="A4338" t="s">
        <v>6906</v>
      </c>
      <c r="B4338">
        <v>488183</v>
      </c>
    </row>
    <row r="4339" spans="1:2" x14ac:dyDescent="0.25">
      <c r="A4339" t="s">
        <v>6907</v>
      </c>
      <c r="B4339">
        <v>487889</v>
      </c>
    </row>
    <row r="4340" spans="1:2" x14ac:dyDescent="0.25">
      <c r="A4340" t="s">
        <v>6908</v>
      </c>
      <c r="B4340">
        <v>167598</v>
      </c>
    </row>
    <row r="4341" spans="1:2" x14ac:dyDescent="0.25">
      <c r="A4341" t="s">
        <v>6909</v>
      </c>
      <c r="B4341">
        <v>127918</v>
      </c>
    </row>
    <row r="4342" spans="1:2" x14ac:dyDescent="0.25">
      <c r="A4342" t="s">
        <v>6910</v>
      </c>
      <c r="B4342">
        <v>101994</v>
      </c>
    </row>
    <row r="4343" spans="1:2" x14ac:dyDescent="0.25">
      <c r="A4343" t="s">
        <v>6911</v>
      </c>
      <c r="B4343">
        <v>140872</v>
      </c>
    </row>
    <row r="4344" spans="1:2" x14ac:dyDescent="0.25">
      <c r="A4344" t="s">
        <v>6912</v>
      </c>
      <c r="B4344">
        <v>492209</v>
      </c>
    </row>
    <row r="4345" spans="1:2" x14ac:dyDescent="0.25">
      <c r="A4345" t="s">
        <v>6913</v>
      </c>
      <c r="B4345">
        <v>475033</v>
      </c>
    </row>
    <row r="4346" spans="1:2" x14ac:dyDescent="0.25">
      <c r="A4346" t="s">
        <v>8834</v>
      </c>
      <c r="B4346">
        <v>496867</v>
      </c>
    </row>
    <row r="4347" spans="1:2" x14ac:dyDescent="0.25">
      <c r="A4347" t="s">
        <v>6914</v>
      </c>
      <c r="B4347">
        <v>440271</v>
      </c>
    </row>
    <row r="4348" spans="1:2" x14ac:dyDescent="0.25">
      <c r="A4348" t="s">
        <v>6915</v>
      </c>
      <c r="B4348">
        <v>375416</v>
      </c>
    </row>
    <row r="4349" spans="1:2" x14ac:dyDescent="0.25">
      <c r="A4349" t="s">
        <v>6916</v>
      </c>
      <c r="B4349">
        <v>223463</v>
      </c>
    </row>
    <row r="4350" spans="1:2" x14ac:dyDescent="0.25">
      <c r="A4350" t="s">
        <v>6917</v>
      </c>
      <c r="B4350">
        <v>377111</v>
      </c>
    </row>
    <row r="4351" spans="1:2" x14ac:dyDescent="0.25">
      <c r="A4351" t="s">
        <v>6918</v>
      </c>
      <c r="B4351">
        <v>451857</v>
      </c>
    </row>
    <row r="4352" spans="1:2" x14ac:dyDescent="0.25">
      <c r="A4352" t="s">
        <v>6919</v>
      </c>
      <c r="B4352">
        <v>497000</v>
      </c>
    </row>
    <row r="4353" spans="1:2" x14ac:dyDescent="0.25">
      <c r="A4353" t="s">
        <v>6920</v>
      </c>
      <c r="B4353">
        <v>160524</v>
      </c>
    </row>
    <row r="4354" spans="1:2" x14ac:dyDescent="0.25">
      <c r="A4354" t="s">
        <v>6921</v>
      </c>
      <c r="B4354">
        <v>438869</v>
      </c>
    </row>
    <row r="4355" spans="1:2" x14ac:dyDescent="0.25">
      <c r="A4355" t="s">
        <v>6922</v>
      </c>
      <c r="B4355">
        <v>412599</v>
      </c>
    </row>
    <row r="4356" spans="1:2" x14ac:dyDescent="0.25">
      <c r="A4356" t="s">
        <v>6923</v>
      </c>
      <c r="B4356">
        <v>366535</v>
      </c>
    </row>
    <row r="4357" spans="1:2" x14ac:dyDescent="0.25">
      <c r="A4357" t="s">
        <v>6924</v>
      </c>
      <c r="B4357">
        <v>445249</v>
      </c>
    </row>
    <row r="4358" spans="1:2" x14ac:dyDescent="0.25">
      <c r="A4358" t="s">
        <v>6925</v>
      </c>
      <c r="B4358">
        <v>445203</v>
      </c>
    </row>
    <row r="4359" spans="1:2" x14ac:dyDescent="0.25">
      <c r="A4359" t="s">
        <v>6926</v>
      </c>
      <c r="B4359">
        <v>451866</v>
      </c>
    </row>
    <row r="4360" spans="1:2" x14ac:dyDescent="0.25">
      <c r="A4360" t="s">
        <v>6927</v>
      </c>
      <c r="B4360">
        <v>458104</v>
      </c>
    </row>
    <row r="4361" spans="1:2" x14ac:dyDescent="0.25">
      <c r="A4361" t="s">
        <v>6928</v>
      </c>
      <c r="B4361">
        <v>148256</v>
      </c>
    </row>
    <row r="4362" spans="1:2" x14ac:dyDescent="0.25">
      <c r="A4362" t="s">
        <v>6929</v>
      </c>
      <c r="B4362">
        <v>129428</v>
      </c>
    </row>
    <row r="4363" spans="1:2" x14ac:dyDescent="0.25">
      <c r="A4363" t="s">
        <v>6930</v>
      </c>
      <c r="B4363">
        <v>194824</v>
      </c>
    </row>
    <row r="4364" spans="1:2" x14ac:dyDescent="0.25">
      <c r="A4364" t="s">
        <v>6931</v>
      </c>
      <c r="B4364">
        <v>236382</v>
      </c>
    </row>
    <row r="4365" spans="1:2" x14ac:dyDescent="0.25">
      <c r="A4365" t="s">
        <v>6932</v>
      </c>
      <c r="B4365">
        <v>178989</v>
      </c>
    </row>
    <row r="4366" spans="1:2" x14ac:dyDescent="0.25">
      <c r="A4366" t="s">
        <v>6933</v>
      </c>
      <c r="B4366">
        <v>491701</v>
      </c>
    </row>
    <row r="4367" spans="1:2" x14ac:dyDescent="0.25">
      <c r="A4367" t="s">
        <v>6934</v>
      </c>
      <c r="B4367">
        <v>217420</v>
      </c>
    </row>
    <row r="4368" spans="1:2" x14ac:dyDescent="0.25">
      <c r="A4368" t="s">
        <v>6935</v>
      </c>
      <c r="B4368">
        <v>217493</v>
      </c>
    </row>
    <row r="4369" spans="1:2" x14ac:dyDescent="0.25">
      <c r="A4369" t="s">
        <v>6936</v>
      </c>
      <c r="B4369">
        <v>221351</v>
      </c>
    </row>
    <row r="4370" spans="1:2" x14ac:dyDescent="0.25">
      <c r="A4370" t="s">
        <v>6937</v>
      </c>
      <c r="B4370">
        <v>484127</v>
      </c>
    </row>
    <row r="4371" spans="1:2" x14ac:dyDescent="0.25">
      <c r="A4371" t="s">
        <v>6938</v>
      </c>
      <c r="B4371">
        <v>227757</v>
      </c>
    </row>
    <row r="4372" spans="1:2" x14ac:dyDescent="0.25">
      <c r="A4372" t="s">
        <v>6939</v>
      </c>
      <c r="B4372">
        <v>233338</v>
      </c>
    </row>
    <row r="4373" spans="1:2" x14ac:dyDescent="0.25">
      <c r="A4373" t="s">
        <v>6940</v>
      </c>
      <c r="B4373">
        <v>148292</v>
      </c>
    </row>
    <row r="4374" spans="1:2" x14ac:dyDescent="0.25">
      <c r="A4374" t="s">
        <v>6941</v>
      </c>
      <c r="B4374">
        <v>199449</v>
      </c>
    </row>
    <row r="4375" spans="1:2" x14ac:dyDescent="0.25">
      <c r="A4375" t="s">
        <v>6942</v>
      </c>
      <c r="B4375">
        <v>441104</v>
      </c>
    </row>
    <row r="4376" spans="1:2" x14ac:dyDescent="0.25">
      <c r="A4376" t="s">
        <v>6943</v>
      </c>
      <c r="B4376">
        <v>242413</v>
      </c>
    </row>
    <row r="4377" spans="1:2" x14ac:dyDescent="0.25">
      <c r="A4377" t="s">
        <v>6944</v>
      </c>
      <c r="B4377">
        <v>186283</v>
      </c>
    </row>
    <row r="4378" spans="1:2" x14ac:dyDescent="0.25">
      <c r="A4378" t="s">
        <v>6945</v>
      </c>
      <c r="B4378">
        <v>136765</v>
      </c>
    </row>
    <row r="4379" spans="1:2" x14ac:dyDescent="0.25">
      <c r="A4379" t="s">
        <v>6946</v>
      </c>
      <c r="B4379">
        <v>175236</v>
      </c>
    </row>
    <row r="4380" spans="1:2" x14ac:dyDescent="0.25">
      <c r="A4380" t="s">
        <v>6947</v>
      </c>
      <c r="B4380">
        <v>496663</v>
      </c>
    </row>
    <row r="4381" spans="1:2" x14ac:dyDescent="0.25">
      <c r="A4381" t="s">
        <v>6948</v>
      </c>
      <c r="B4381">
        <v>136774</v>
      </c>
    </row>
    <row r="4382" spans="1:2" x14ac:dyDescent="0.25">
      <c r="A4382" t="s">
        <v>6949</v>
      </c>
      <c r="B4382">
        <v>476726</v>
      </c>
    </row>
    <row r="4383" spans="1:2" x14ac:dyDescent="0.25">
      <c r="A4383" t="s">
        <v>6950</v>
      </c>
      <c r="B4383">
        <v>121886</v>
      </c>
    </row>
    <row r="4384" spans="1:2" x14ac:dyDescent="0.25">
      <c r="A4384" t="s">
        <v>6951</v>
      </c>
      <c r="B4384">
        <v>105668</v>
      </c>
    </row>
    <row r="4385" spans="1:2" x14ac:dyDescent="0.25">
      <c r="A4385" t="s">
        <v>6952</v>
      </c>
      <c r="B4385">
        <v>239628</v>
      </c>
    </row>
    <row r="4386" spans="1:2" x14ac:dyDescent="0.25">
      <c r="A4386" t="s">
        <v>6953</v>
      </c>
      <c r="B4386">
        <v>436304</v>
      </c>
    </row>
    <row r="4387" spans="1:2" x14ac:dyDescent="0.25">
      <c r="A4387" t="s">
        <v>6954</v>
      </c>
      <c r="B4387">
        <v>183114</v>
      </c>
    </row>
    <row r="4388" spans="1:2" x14ac:dyDescent="0.25">
      <c r="A4388" t="s">
        <v>6955</v>
      </c>
      <c r="B4388">
        <v>485704</v>
      </c>
    </row>
    <row r="4389" spans="1:2" x14ac:dyDescent="0.25">
      <c r="A4389" t="s">
        <v>6956</v>
      </c>
      <c r="B4389">
        <v>173063</v>
      </c>
    </row>
    <row r="4390" spans="1:2" x14ac:dyDescent="0.25">
      <c r="A4390" t="s">
        <v>6957</v>
      </c>
      <c r="B4390">
        <v>137713</v>
      </c>
    </row>
    <row r="4391" spans="1:2" x14ac:dyDescent="0.25">
      <c r="A4391" t="s">
        <v>6958</v>
      </c>
      <c r="B4391">
        <v>121901</v>
      </c>
    </row>
    <row r="4392" spans="1:2" x14ac:dyDescent="0.25">
      <c r="A4392" t="s">
        <v>6959</v>
      </c>
      <c r="B4392">
        <v>233408</v>
      </c>
    </row>
    <row r="4393" spans="1:2" x14ac:dyDescent="0.25">
      <c r="A4393" t="s">
        <v>6960</v>
      </c>
      <c r="B4393">
        <v>481191</v>
      </c>
    </row>
    <row r="4394" spans="1:2" x14ac:dyDescent="0.25">
      <c r="A4394" t="s">
        <v>6961</v>
      </c>
      <c r="B4394">
        <v>419235</v>
      </c>
    </row>
    <row r="4395" spans="1:2" x14ac:dyDescent="0.25">
      <c r="A4395" t="s">
        <v>6962</v>
      </c>
      <c r="B4395">
        <v>183211</v>
      </c>
    </row>
    <row r="4396" spans="1:2" x14ac:dyDescent="0.25">
      <c r="A4396" t="s">
        <v>6963</v>
      </c>
      <c r="B4396">
        <v>185466</v>
      </c>
    </row>
    <row r="4397" spans="1:2" x14ac:dyDescent="0.25">
      <c r="A4397" t="s">
        <v>6964</v>
      </c>
      <c r="B4397">
        <v>221397</v>
      </c>
    </row>
    <row r="4398" spans="1:2" x14ac:dyDescent="0.25">
      <c r="A4398" t="s">
        <v>6965</v>
      </c>
      <c r="B4398">
        <v>364575</v>
      </c>
    </row>
    <row r="4399" spans="1:2" x14ac:dyDescent="0.25">
      <c r="A4399" t="s">
        <v>6966</v>
      </c>
      <c r="B4399">
        <v>233426</v>
      </c>
    </row>
    <row r="4400" spans="1:2" x14ac:dyDescent="0.25">
      <c r="A4400" t="s">
        <v>6967</v>
      </c>
      <c r="B4400">
        <v>199467</v>
      </c>
    </row>
    <row r="4401" spans="1:2" x14ac:dyDescent="0.25">
      <c r="A4401" t="s">
        <v>6968</v>
      </c>
      <c r="B4401">
        <v>165750</v>
      </c>
    </row>
    <row r="4402" spans="1:2" x14ac:dyDescent="0.25">
      <c r="A4402" t="s">
        <v>6969</v>
      </c>
      <c r="B4402">
        <v>167039</v>
      </c>
    </row>
    <row r="4403" spans="1:2" x14ac:dyDescent="0.25">
      <c r="A4403" t="s">
        <v>6970</v>
      </c>
      <c r="B4403">
        <v>168032</v>
      </c>
    </row>
    <row r="4404" spans="1:2" x14ac:dyDescent="0.25">
      <c r="A4404" t="s">
        <v>6971</v>
      </c>
      <c r="B4404">
        <v>373696</v>
      </c>
    </row>
    <row r="4405" spans="1:2" x14ac:dyDescent="0.25">
      <c r="A4405" t="s">
        <v>6972</v>
      </c>
      <c r="B4405">
        <v>186274</v>
      </c>
    </row>
    <row r="4406" spans="1:2" x14ac:dyDescent="0.25">
      <c r="A4406" t="s">
        <v>6973</v>
      </c>
      <c r="B4406">
        <v>383279</v>
      </c>
    </row>
    <row r="4407" spans="1:2" x14ac:dyDescent="0.25">
      <c r="A4407" t="s">
        <v>6974</v>
      </c>
      <c r="B4407">
        <v>185767</v>
      </c>
    </row>
    <row r="4408" spans="1:2" x14ac:dyDescent="0.25">
      <c r="A4408" t="s">
        <v>6975</v>
      </c>
      <c r="B4408">
        <v>136826</v>
      </c>
    </row>
    <row r="4409" spans="1:2" x14ac:dyDescent="0.25">
      <c r="A4409" t="s">
        <v>6976</v>
      </c>
      <c r="B4409">
        <v>215655</v>
      </c>
    </row>
    <row r="4410" spans="1:2" x14ac:dyDescent="0.25">
      <c r="A4410" t="s">
        <v>6977</v>
      </c>
      <c r="B4410">
        <v>163754</v>
      </c>
    </row>
    <row r="4411" spans="1:2" x14ac:dyDescent="0.25">
      <c r="A4411" t="s">
        <v>6978</v>
      </c>
      <c r="B4411">
        <v>105677</v>
      </c>
    </row>
    <row r="4412" spans="1:2" x14ac:dyDescent="0.25">
      <c r="A4412" t="s">
        <v>6979</v>
      </c>
      <c r="B4412">
        <v>194958</v>
      </c>
    </row>
    <row r="4413" spans="1:2" x14ac:dyDescent="0.25">
      <c r="A4413" t="s">
        <v>6980</v>
      </c>
      <c r="B4413">
        <v>199476</v>
      </c>
    </row>
    <row r="4414" spans="1:2" x14ac:dyDescent="0.25">
      <c r="A4414" t="s">
        <v>6981</v>
      </c>
      <c r="B4414">
        <v>174738</v>
      </c>
    </row>
    <row r="4415" spans="1:2" x14ac:dyDescent="0.25">
      <c r="A4415" t="s">
        <v>6982</v>
      </c>
      <c r="B4415">
        <v>195003</v>
      </c>
    </row>
    <row r="4416" spans="1:2" x14ac:dyDescent="0.25">
      <c r="A4416" t="s">
        <v>6983</v>
      </c>
      <c r="B4416">
        <v>170967</v>
      </c>
    </row>
    <row r="4417" spans="1:2" x14ac:dyDescent="0.25">
      <c r="A4417" t="s">
        <v>6984</v>
      </c>
      <c r="B4417">
        <v>148380</v>
      </c>
    </row>
    <row r="4418" spans="1:2" x14ac:dyDescent="0.25">
      <c r="A4418" t="s">
        <v>6985</v>
      </c>
      <c r="B4418">
        <v>195049</v>
      </c>
    </row>
    <row r="4419" spans="1:2" x14ac:dyDescent="0.25">
      <c r="A4419" t="s">
        <v>6986</v>
      </c>
      <c r="B4419">
        <v>148405</v>
      </c>
    </row>
    <row r="4420" spans="1:2" x14ac:dyDescent="0.25">
      <c r="A4420" t="s">
        <v>6987</v>
      </c>
      <c r="B4420">
        <v>179043</v>
      </c>
    </row>
    <row r="4421" spans="1:2" x14ac:dyDescent="0.25">
      <c r="A4421" t="s">
        <v>6988</v>
      </c>
      <c r="B4421">
        <v>199485</v>
      </c>
    </row>
    <row r="4422" spans="1:2" x14ac:dyDescent="0.25">
      <c r="A4422" t="s">
        <v>6989</v>
      </c>
      <c r="B4422">
        <v>195058</v>
      </c>
    </row>
    <row r="4423" spans="1:2" x14ac:dyDescent="0.25">
      <c r="A4423" t="s">
        <v>6990</v>
      </c>
      <c r="B4423">
        <v>418083</v>
      </c>
    </row>
    <row r="4424" spans="1:2" x14ac:dyDescent="0.25">
      <c r="A4424" t="s">
        <v>6991</v>
      </c>
      <c r="B4424">
        <v>180595</v>
      </c>
    </row>
    <row r="4425" spans="1:2" x14ac:dyDescent="0.25">
      <c r="A4425" t="s">
        <v>6992</v>
      </c>
      <c r="B4425">
        <v>127945</v>
      </c>
    </row>
    <row r="4426" spans="1:2" x14ac:dyDescent="0.25">
      <c r="A4426" t="s">
        <v>6993</v>
      </c>
      <c r="B4426">
        <v>475495</v>
      </c>
    </row>
    <row r="4427" spans="1:2" x14ac:dyDescent="0.25">
      <c r="A4427" t="s">
        <v>6994</v>
      </c>
      <c r="B4427">
        <v>480790</v>
      </c>
    </row>
    <row r="4428" spans="1:2" x14ac:dyDescent="0.25">
      <c r="A4428" t="s">
        <v>6995</v>
      </c>
      <c r="B4428">
        <v>217518</v>
      </c>
    </row>
    <row r="4429" spans="1:2" x14ac:dyDescent="0.25">
      <c r="A4429" t="s">
        <v>6996</v>
      </c>
      <c r="B4429">
        <v>409616</v>
      </c>
    </row>
    <row r="4430" spans="1:2" x14ac:dyDescent="0.25">
      <c r="A4430" t="s">
        <v>6997</v>
      </c>
      <c r="B4430">
        <v>152309</v>
      </c>
    </row>
    <row r="4431" spans="1:2" x14ac:dyDescent="0.25">
      <c r="A4431" t="s">
        <v>6998</v>
      </c>
      <c r="B4431">
        <v>207661</v>
      </c>
    </row>
    <row r="4432" spans="1:2" x14ac:dyDescent="0.25">
      <c r="A4432" t="s">
        <v>6999</v>
      </c>
      <c r="B4432">
        <v>209940</v>
      </c>
    </row>
    <row r="4433" spans="1:2" x14ac:dyDescent="0.25">
      <c r="A4433" t="s">
        <v>7000</v>
      </c>
      <c r="B4433">
        <v>179052</v>
      </c>
    </row>
    <row r="4434" spans="1:2" x14ac:dyDescent="0.25">
      <c r="A4434" t="s">
        <v>7001</v>
      </c>
      <c r="B4434">
        <v>136950</v>
      </c>
    </row>
    <row r="4435" spans="1:2" x14ac:dyDescent="0.25">
      <c r="A4435" t="s">
        <v>7002</v>
      </c>
      <c r="B4435">
        <v>148487</v>
      </c>
    </row>
    <row r="4436" spans="1:2" x14ac:dyDescent="0.25">
      <c r="A4436" t="s">
        <v>7003</v>
      </c>
      <c r="B4436">
        <v>145558</v>
      </c>
    </row>
    <row r="4437" spans="1:2" x14ac:dyDescent="0.25">
      <c r="A4437" t="s">
        <v>7004</v>
      </c>
      <c r="B4437">
        <v>207670</v>
      </c>
    </row>
    <row r="4438" spans="1:2" x14ac:dyDescent="0.25">
      <c r="A4438" t="s">
        <v>7005</v>
      </c>
      <c r="B4438">
        <v>439899</v>
      </c>
    </row>
    <row r="4439" spans="1:2" x14ac:dyDescent="0.25">
      <c r="A4439" t="s">
        <v>7006</v>
      </c>
      <c r="B4439">
        <v>215682</v>
      </c>
    </row>
    <row r="4440" spans="1:2" x14ac:dyDescent="0.25">
      <c r="A4440" t="s">
        <v>7007</v>
      </c>
      <c r="B4440">
        <v>152318</v>
      </c>
    </row>
    <row r="4441" spans="1:2" x14ac:dyDescent="0.25">
      <c r="A4441" t="s">
        <v>7008</v>
      </c>
      <c r="B4441">
        <v>369446</v>
      </c>
    </row>
    <row r="4442" spans="1:2" x14ac:dyDescent="0.25">
      <c r="A4442" t="s">
        <v>7009</v>
      </c>
      <c r="B4442">
        <v>445735</v>
      </c>
    </row>
    <row r="4443" spans="1:2" x14ac:dyDescent="0.25">
      <c r="A4443" t="s">
        <v>7010</v>
      </c>
      <c r="B4443">
        <v>121992</v>
      </c>
    </row>
    <row r="4444" spans="1:2" x14ac:dyDescent="0.25">
      <c r="A4444" t="s">
        <v>7011</v>
      </c>
      <c r="B4444">
        <v>215691</v>
      </c>
    </row>
    <row r="4445" spans="1:2" x14ac:dyDescent="0.25">
      <c r="A4445" t="s">
        <v>7012</v>
      </c>
      <c r="B4445">
        <v>490832</v>
      </c>
    </row>
    <row r="4446" spans="1:2" x14ac:dyDescent="0.25">
      <c r="A4446" t="s">
        <v>7013</v>
      </c>
      <c r="B4446">
        <v>373085</v>
      </c>
    </row>
    <row r="4447" spans="1:2" x14ac:dyDescent="0.25">
      <c r="A4447" t="s">
        <v>7014</v>
      </c>
      <c r="B4447">
        <v>490841</v>
      </c>
    </row>
    <row r="4448" spans="1:2" x14ac:dyDescent="0.25">
      <c r="A4448" t="s">
        <v>7015</v>
      </c>
      <c r="B4448">
        <v>421513</v>
      </c>
    </row>
    <row r="4449" spans="1:2" x14ac:dyDescent="0.25">
      <c r="A4449" t="s">
        <v>7016</v>
      </c>
      <c r="B4449">
        <v>452081</v>
      </c>
    </row>
    <row r="4450" spans="1:2" x14ac:dyDescent="0.25">
      <c r="A4450" t="s">
        <v>7017</v>
      </c>
      <c r="B4450">
        <v>490814</v>
      </c>
    </row>
    <row r="4451" spans="1:2" x14ac:dyDescent="0.25">
      <c r="A4451" t="s">
        <v>7018</v>
      </c>
      <c r="B4451">
        <v>261685</v>
      </c>
    </row>
    <row r="4452" spans="1:2" x14ac:dyDescent="0.25">
      <c r="A4452" t="s">
        <v>7019</v>
      </c>
      <c r="B4452">
        <v>456515</v>
      </c>
    </row>
    <row r="4453" spans="1:2" x14ac:dyDescent="0.25">
      <c r="A4453" t="s">
        <v>7020</v>
      </c>
      <c r="B4453">
        <v>480550</v>
      </c>
    </row>
    <row r="4454" spans="1:2" x14ac:dyDescent="0.25">
      <c r="A4454" t="s">
        <v>7021</v>
      </c>
      <c r="B4454">
        <v>261676</v>
      </c>
    </row>
    <row r="4455" spans="1:2" x14ac:dyDescent="0.25">
      <c r="A4455" t="s">
        <v>7022</v>
      </c>
      <c r="B4455">
        <v>460127</v>
      </c>
    </row>
    <row r="4456" spans="1:2" x14ac:dyDescent="0.25">
      <c r="A4456" t="s">
        <v>7023</v>
      </c>
      <c r="B4456">
        <v>481906</v>
      </c>
    </row>
    <row r="4457" spans="1:2" x14ac:dyDescent="0.25">
      <c r="A4457" t="s">
        <v>7024</v>
      </c>
      <c r="B4457">
        <v>203234</v>
      </c>
    </row>
    <row r="4458" spans="1:2" x14ac:dyDescent="0.25">
      <c r="A4458" t="s">
        <v>7025</v>
      </c>
      <c r="B4458">
        <v>460093</v>
      </c>
    </row>
    <row r="4459" spans="1:2" x14ac:dyDescent="0.25">
      <c r="A4459" t="s">
        <v>7026</v>
      </c>
      <c r="B4459">
        <v>480523</v>
      </c>
    </row>
    <row r="4460" spans="1:2" x14ac:dyDescent="0.25">
      <c r="A4460" t="s">
        <v>7027</v>
      </c>
      <c r="B4460">
        <v>488952</v>
      </c>
    </row>
    <row r="4461" spans="1:2" x14ac:dyDescent="0.25">
      <c r="A4461" t="s">
        <v>7028</v>
      </c>
      <c r="B4461">
        <v>481890</v>
      </c>
    </row>
    <row r="4462" spans="1:2" x14ac:dyDescent="0.25">
      <c r="A4462" t="s">
        <v>7029</v>
      </c>
      <c r="B4462">
        <v>484349</v>
      </c>
    </row>
    <row r="4463" spans="1:2" x14ac:dyDescent="0.25">
      <c r="A4463" t="s">
        <v>7030</v>
      </c>
      <c r="B4463">
        <v>172015</v>
      </c>
    </row>
    <row r="4464" spans="1:2" x14ac:dyDescent="0.25">
      <c r="A4464" t="s">
        <v>7031</v>
      </c>
      <c r="B4464">
        <v>456506</v>
      </c>
    </row>
    <row r="4465" spans="1:2" x14ac:dyDescent="0.25">
      <c r="A4465" t="s">
        <v>7032</v>
      </c>
      <c r="B4465">
        <v>460109</v>
      </c>
    </row>
    <row r="4466" spans="1:2" x14ac:dyDescent="0.25">
      <c r="A4466" t="s">
        <v>7033</v>
      </c>
      <c r="B4466">
        <v>486707</v>
      </c>
    </row>
    <row r="4467" spans="1:2" x14ac:dyDescent="0.25">
      <c r="A4467" t="s">
        <v>7034</v>
      </c>
      <c r="B4467">
        <v>484358</v>
      </c>
    </row>
    <row r="4468" spans="1:2" x14ac:dyDescent="0.25">
      <c r="A4468" t="s">
        <v>7035</v>
      </c>
      <c r="B4468">
        <v>365833</v>
      </c>
    </row>
    <row r="4469" spans="1:2" x14ac:dyDescent="0.25">
      <c r="A4469" t="s">
        <v>7036</v>
      </c>
      <c r="B4469">
        <v>486716</v>
      </c>
    </row>
    <row r="4470" spans="1:2" x14ac:dyDescent="0.25">
      <c r="A4470" t="s">
        <v>7037</v>
      </c>
      <c r="B4470">
        <v>481863</v>
      </c>
    </row>
    <row r="4471" spans="1:2" x14ac:dyDescent="0.25">
      <c r="A4471" t="s">
        <v>7038</v>
      </c>
      <c r="B4471">
        <v>488961</v>
      </c>
    </row>
    <row r="4472" spans="1:2" x14ac:dyDescent="0.25">
      <c r="A4472" t="s">
        <v>7039</v>
      </c>
      <c r="B4472">
        <v>171988</v>
      </c>
    </row>
    <row r="4473" spans="1:2" x14ac:dyDescent="0.25">
      <c r="A4473" t="s">
        <v>7040</v>
      </c>
      <c r="B4473">
        <v>488970</v>
      </c>
    </row>
    <row r="4474" spans="1:2" x14ac:dyDescent="0.25">
      <c r="A4474" t="s">
        <v>7041</v>
      </c>
      <c r="B4474">
        <v>476230</v>
      </c>
    </row>
    <row r="4475" spans="1:2" x14ac:dyDescent="0.25">
      <c r="A4475" t="s">
        <v>7042</v>
      </c>
      <c r="B4475">
        <v>486752</v>
      </c>
    </row>
    <row r="4476" spans="1:2" x14ac:dyDescent="0.25">
      <c r="A4476" t="s">
        <v>7043</v>
      </c>
      <c r="B4476">
        <v>452072</v>
      </c>
    </row>
    <row r="4477" spans="1:2" x14ac:dyDescent="0.25">
      <c r="A4477" t="s">
        <v>7044</v>
      </c>
      <c r="B4477">
        <v>460118</v>
      </c>
    </row>
    <row r="4478" spans="1:2" x14ac:dyDescent="0.25">
      <c r="A4478" t="s">
        <v>7045</v>
      </c>
      <c r="B4478">
        <v>480532</v>
      </c>
    </row>
    <row r="4479" spans="1:2" x14ac:dyDescent="0.25">
      <c r="A4479" t="s">
        <v>7046</v>
      </c>
      <c r="B4479">
        <v>484330</v>
      </c>
    </row>
    <row r="4480" spans="1:2" x14ac:dyDescent="0.25">
      <c r="A4480" t="s">
        <v>7047</v>
      </c>
      <c r="B4480">
        <v>363013</v>
      </c>
    </row>
    <row r="4481" spans="1:2" x14ac:dyDescent="0.25">
      <c r="A4481" t="s">
        <v>7048</v>
      </c>
      <c r="B4481">
        <v>365824</v>
      </c>
    </row>
    <row r="4482" spans="1:2" x14ac:dyDescent="0.25">
      <c r="A4482" t="s">
        <v>7049</v>
      </c>
      <c r="B4482">
        <v>247409</v>
      </c>
    </row>
    <row r="4483" spans="1:2" x14ac:dyDescent="0.25">
      <c r="A4483" t="s">
        <v>7050</v>
      </c>
      <c r="B4483">
        <v>367158</v>
      </c>
    </row>
    <row r="4484" spans="1:2" x14ac:dyDescent="0.25">
      <c r="A4484" t="s">
        <v>7051</v>
      </c>
      <c r="B4484">
        <v>171997</v>
      </c>
    </row>
    <row r="4485" spans="1:2" x14ac:dyDescent="0.25">
      <c r="A4485" t="s">
        <v>7052</v>
      </c>
      <c r="B4485">
        <v>446516</v>
      </c>
    </row>
    <row r="4486" spans="1:2" x14ac:dyDescent="0.25">
      <c r="A4486" t="s">
        <v>7053</v>
      </c>
      <c r="B4486">
        <v>183877</v>
      </c>
    </row>
    <row r="4487" spans="1:2" x14ac:dyDescent="0.25">
      <c r="A4487" t="s">
        <v>7054</v>
      </c>
      <c r="B4487">
        <v>184791</v>
      </c>
    </row>
    <row r="4488" spans="1:2" x14ac:dyDescent="0.25">
      <c r="A4488" t="s">
        <v>7055</v>
      </c>
      <c r="B4488">
        <v>184205</v>
      </c>
    </row>
    <row r="4489" spans="1:2" x14ac:dyDescent="0.25">
      <c r="A4489" t="s">
        <v>7056</v>
      </c>
      <c r="B4489">
        <v>184782</v>
      </c>
    </row>
    <row r="4490" spans="1:2" x14ac:dyDescent="0.25">
      <c r="A4490" t="s">
        <v>7057</v>
      </c>
      <c r="B4490">
        <v>199494</v>
      </c>
    </row>
    <row r="4491" spans="1:2" x14ac:dyDescent="0.25">
      <c r="A4491" t="s">
        <v>7058</v>
      </c>
      <c r="B4491">
        <v>213932</v>
      </c>
    </row>
    <row r="4492" spans="1:2" x14ac:dyDescent="0.25">
      <c r="A4492" t="s">
        <v>7059</v>
      </c>
      <c r="B4492">
        <v>167631</v>
      </c>
    </row>
    <row r="4493" spans="1:2" x14ac:dyDescent="0.25">
      <c r="A4493" t="s">
        <v>7060</v>
      </c>
      <c r="B4493">
        <v>495165</v>
      </c>
    </row>
    <row r="4494" spans="1:2" x14ac:dyDescent="0.25">
      <c r="A4494" t="s">
        <v>7060</v>
      </c>
      <c r="B4494">
        <v>495396</v>
      </c>
    </row>
    <row r="4495" spans="1:2" x14ac:dyDescent="0.25">
      <c r="A4495" t="s">
        <v>7061</v>
      </c>
      <c r="B4495">
        <v>496052</v>
      </c>
    </row>
    <row r="4496" spans="1:2" x14ac:dyDescent="0.25">
      <c r="A4496" t="s">
        <v>7062</v>
      </c>
      <c r="B4496">
        <v>437857</v>
      </c>
    </row>
    <row r="4497" spans="1:2" x14ac:dyDescent="0.25">
      <c r="A4497" t="s">
        <v>7063</v>
      </c>
      <c r="B4497">
        <v>441876</v>
      </c>
    </row>
    <row r="4498" spans="1:2" x14ac:dyDescent="0.25">
      <c r="A4498" t="s">
        <v>7064</v>
      </c>
      <c r="B4498">
        <v>148511</v>
      </c>
    </row>
    <row r="4499" spans="1:2" x14ac:dyDescent="0.25">
      <c r="A4499" t="s">
        <v>7065</v>
      </c>
      <c r="B4499">
        <v>195128</v>
      </c>
    </row>
    <row r="4500" spans="1:2" x14ac:dyDescent="0.25">
      <c r="A4500" t="s">
        <v>7066</v>
      </c>
      <c r="B4500">
        <v>176318</v>
      </c>
    </row>
    <row r="4501" spans="1:2" x14ac:dyDescent="0.25">
      <c r="A4501" t="s">
        <v>7067</v>
      </c>
      <c r="B4501">
        <v>186371</v>
      </c>
    </row>
    <row r="4502" spans="1:2" x14ac:dyDescent="0.25">
      <c r="A4502" t="s">
        <v>7068</v>
      </c>
      <c r="B4502">
        <v>186380</v>
      </c>
    </row>
    <row r="4503" spans="1:2" x14ac:dyDescent="0.25">
      <c r="A4503" t="s">
        <v>7069</v>
      </c>
      <c r="B4503">
        <v>186399</v>
      </c>
    </row>
    <row r="4504" spans="1:2" x14ac:dyDescent="0.25">
      <c r="A4504" t="s">
        <v>7070</v>
      </c>
      <c r="B4504">
        <v>449506</v>
      </c>
    </row>
    <row r="4505" spans="1:2" x14ac:dyDescent="0.25">
      <c r="A4505" t="s">
        <v>7071</v>
      </c>
      <c r="B4505">
        <v>122180</v>
      </c>
    </row>
    <row r="4506" spans="1:2" x14ac:dyDescent="0.25">
      <c r="A4506" t="s">
        <v>7072</v>
      </c>
      <c r="B4506">
        <v>490160</v>
      </c>
    </row>
    <row r="4507" spans="1:2" x14ac:dyDescent="0.25">
      <c r="A4507" t="s">
        <v>7073</v>
      </c>
      <c r="B4507">
        <v>172033</v>
      </c>
    </row>
    <row r="4508" spans="1:2" x14ac:dyDescent="0.25">
      <c r="A4508" t="s">
        <v>7074</v>
      </c>
      <c r="B4508">
        <v>239637</v>
      </c>
    </row>
    <row r="4509" spans="1:2" x14ac:dyDescent="0.25">
      <c r="A4509" t="s">
        <v>7075</v>
      </c>
      <c r="B4509">
        <v>130253</v>
      </c>
    </row>
    <row r="4510" spans="1:2" x14ac:dyDescent="0.25">
      <c r="A4510" t="s">
        <v>7076</v>
      </c>
      <c r="B4510">
        <v>122205</v>
      </c>
    </row>
    <row r="4511" spans="1:2" x14ac:dyDescent="0.25">
      <c r="A4511" t="s">
        <v>7077</v>
      </c>
      <c r="B4511">
        <v>447458</v>
      </c>
    </row>
    <row r="4512" spans="1:2" x14ac:dyDescent="0.25">
      <c r="A4512" t="s">
        <v>7078</v>
      </c>
      <c r="B4512">
        <v>476948</v>
      </c>
    </row>
    <row r="4513" spans="1:2" x14ac:dyDescent="0.25">
      <c r="A4513" t="s">
        <v>7079</v>
      </c>
      <c r="B4513">
        <v>485139</v>
      </c>
    </row>
    <row r="4514" spans="1:2" x14ac:dyDescent="0.25">
      <c r="A4514" t="s">
        <v>7080</v>
      </c>
      <c r="B4514">
        <v>476966</v>
      </c>
    </row>
    <row r="4515" spans="1:2" x14ac:dyDescent="0.25">
      <c r="A4515" t="s">
        <v>7081</v>
      </c>
      <c r="B4515">
        <v>446525</v>
      </c>
    </row>
    <row r="4516" spans="1:2" x14ac:dyDescent="0.25">
      <c r="A4516" t="s">
        <v>7082</v>
      </c>
      <c r="B4516">
        <v>459462</v>
      </c>
    </row>
    <row r="4517" spans="1:2" x14ac:dyDescent="0.25">
      <c r="A4517" t="s">
        <v>7083</v>
      </c>
      <c r="B4517">
        <v>459499</v>
      </c>
    </row>
    <row r="4518" spans="1:2" x14ac:dyDescent="0.25">
      <c r="A4518" t="s">
        <v>7084</v>
      </c>
      <c r="B4518">
        <v>441070</v>
      </c>
    </row>
    <row r="4519" spans="1:2" x14ac:dyDescent="0.25">
      <c r="A4519" t="s">
        <v>7085</v>
      </c>
      <c r="B4519">
        <v>172051</v>
      </c>
    </row>
    <row r="4520" spans="1:2" x14ac:dyDescent="0.25">
      <c r="A4520" t="s">
        <v>7086</v>
      </c>
      <c r="B4520">
        <v>154235</v>
      </c>
    </row>
    <row r="4521" spans="1:2" x14ac:dyDescent="0.25">
      <c r="A4521" t="s">
        <v>7087</v>
      </c>
      <c r="B4521">
        <v>183239</v>
      </c>
    </row>
    <row r="4522" spans="1:2" x14ac:dyDescent="0.25">
      <c r="A4522" t="s">
        <v>7088</v>
      </c>
      <c r="B4522">
        <v>149028</v>
      </c>
    </row>
    <row r="4523" spans="1:2" x14ac:dyDescent="0.25">
      <c r="A4523" t="s">
        <v>7089</v>
      </c>
      <c r="B4523">
        <v>199582</v>
      </c>
    </row>
    <row r="4524" spans="1:2" x14ac:dyDescent="0.25">
      <c r="A4524" t="s">
        <v>7090</v>
      </c>
      <c r="B4524">
        <v>216047</v>
      </c>
    </row>
    <row r="4525" spans="1:2" x14ac:dyDescent="0.25">
      <c r="A4525" t="s">
        <v>7091</v>
      </c>
      <c r="B4525">
        <v>174783</v>
      </c>
    </row>
    <row r="4526" spans="1:2" x14ac:dyDescent="0.25">
      <c r="A4526" t="s">
        <v>7092</v>
      </c>
      <c r="B4526">
        <v>227845</v>
      </c>
    </row>
    <row r="4527" spans="1:2" x14ac:dyDescent="0.25">
      <c r="A4527" t="s">
        <v>7093</v>
      </c>
      <c r="B4527">
        <v>195702</v>
      </c>
    </row>
    <row r="4528" spans="1:2" x14ac:dyDescent="0.25">
      <c r="A4528" t="s">
        <v>7094</v>
      </c>
      <c r="B4528">
        <v>152497</v>
      </c>
    </row>
    <row r="4529" spans="1:2" x14ac:dyDescent="0.25">
      <c r="A4529" t="s">
        <v>7095</v>
      </c>
      <c r="B4529">
        <v>186618</v>
      </c>
    </row>
    <row r="4530" spans="1:2" x14ac:dyDescent="0.25">
      <c r="A4530" t="s">
        <v>7096</v>
      </c>
      <c r="B4530">
        <v>148575</v>
      </c>
    </row>
    <row r="4531" spans="1:2" x14ac:dyDescent="0.25">
      <c r="A4531" t="s">
        <v>7097</v>
      </c>
      <c r="B4531">
        <v>186423</v>
      </c>
    </row>
    <row r="4532" spans="1:2" x14ac:dyDescent="0.25">
      <c r="A4532" t="s">
        <v>7098</v>
      </c>
      <c r="B4532">
        <v>215743</v>
      </c>
    </row>
    <row r="4533" spans="1:2" x14ac:dyDescent="0.25">
      <c r="A4533" t="s">
        <v>7099</v>
      </c>
      <c r="B4533">
        <v>195720</v>
      </c>
    </row>
    <row r="4534" spans="1:2" x14ac:dyDescent="0.25">
      <c r="A4534" t="s">
        <v>7100</v>
      </c>
      <c r="B4534">
        <v>137281</v>
      </c>
    </row>
    <row r="4535" spans="1:2" x14ac:dyDescent="0.25">
      <c r="A4535" t="s">
        <v>7101</v>
      </c>
      <c r="B4535">
        <v>167677</v>
      </c>
    </row>
    <row r="4536" spans="1:2" x14ac:dyDescent="0.25">
      <c r="A4536" t="s">
        <v>7102</v>
      </c>
      <c r="B4536">
        <v>174792</v>
      </c>
    </row>
    <row r="4537" spans="1:2" x14ac:dyDescent="0.25">
      <c r="A4537" t="s">
        <v>7103</v>
      </c>
      <c r="B4537">
        <v>160409</v>
      </c>
    </row>
    <row r="4538" spans="1:2" x14ac:dyDescent="0.25">
      <c r="A4538" t="s">
        <v>7104</v>
      </c>
      <c r="B4538">
        <v>161518</v>
      </c>
    </row>
    <row r="4539" spans="1:2" x14ac:dyDescent="0.25">
      <c r="A4539" t="s">
        <v>7105</v>
      </c>
      <c r="B4539">
        <v>215770</v>
      </c>
    </row>
    <row r="4540" spans="1:2" x14ac:dyDescent="0.25">
      <c r="A4540" t="s">
        <v>7106</v>
      </c>
      <c r="B4540">
        <v>137032</v>
      </c>
    </row>
    <row r="4541" spans="1:2" x14ac:dyDescent="0.25">
      <c r="A4541" t="s">
        <v>7107</v>
      </c>
      <c r="B4541">
        <v>179256</v>
      </c>
    </row>
    <row r="4542" spans="1:2" x14ac:dyDescent="0.25">
      <c r="A4542" t="s">
        <v>7108</v>
      </c>
      <c r="B4542">
        <v>179308</v>
      </c>
    </row>
    <row r="4543" spans="1:2" x14ac:dyDescent="0.25">
      <c r="A4543" t="s">
        <v>7109</v>
      </c>
      <c r="B4543">
        <v>179159</v>
      </c>
    </row>
    <row r="4544" spans="1:2" x14ac:dyDescent="0.25">
      <c r="A4544" t="s">
        <v>7110</v>
      </c>
      <c r="B4544">
        <v>236452</v>
      </c>
    </row>
    <row r="4545" spans="1:2" x14ac:dyDescent="0.25">
      <c r="A4545" t="s">
        <v>7111</v>
      </c>
      <c r="B4545">
        <v>152381</v>
      </c>
    </row>
    <row r="4546" spans="1:2" x14ac:dyDescent="0.25">
      <c r="A4546" t="s">
        <v>7112</v>
      </c>
      <c r="B4546">
        <v>152390</v>
      </c>
    </row>
    <row r="4547" spans="1:2" x14ac:dyDescent="0.25">
      <c r="A4547" t="s">
        <v>7113</v>
      </c>
      <c r="B4547">
        <v>123554</v>
      </c>
    </row>
    <row r="4548" spans="1:2" x14ac:dyDescent="0.25">
      <c r="A4548" t="s">
        <v>7114</v>
      </c>
      <c r="B4548">
        <v>174817</v>
      </c>
    </row>
    <row r="4549" spans="1:2" x14ac:dyDescent="0.25">
      <c r="A4549" t="s">
        <v>7115</v>
      </c>
      <c r="B4549">
        <v>152451</v>
      </c>
    </row>
    <row r="4550" spans="1:2" x14ac:dyDescent="0.25">
      <c r="A4550" t="s">
        <v>7116</v>
      </c>
      <c r="B4550">
        <v>486424</v>
      </c>
    </row>
    <row r="4551" spans="1:2" x14ac:dyDescent="0.25">
      <c r="A4551" t="s">
        <v>7117</v>
      </c>
      <c r="B4551">
        <v>231059</v>
      </c>
    </row>
    <row r="4552" spans="1:2" x14ac:dyDescent="0.25">
      <c r="A4552" t="s">
        <v>7118</v>
      </c>
      <c r="B4552">
        <v>239716</v>
      </c>
    </row>
    <row r="4553" spans="1:2" x14ac:dyDescent="0.25">
      <c r="A4553" t="s">
        <v>7119</v>
      </c>
      <c r="B4553">
        <v>175041</v>
      </c>
    </row>
    <row r="4554" spans="1:2" x14ac:dyDescent="0.25">
      <c r="A4554" t="s">
        <v>7120</v>
      </c>
      <c r="B4554">
        <v>179317</v>
      </c>
    </row>
    <row r="4555" spans="1:2" x14ac:dyDescent="0.25">
      <c r="A4555" t="s">
        <v>7121</v>
      </c>
      <c r="B4555">
        <v>186432</v>
      </c>
    </row>
    <row r="4556" spans="1:2" x14ac:dyDescent="0.25">
      <c r="A4556" t="s">
        <v>7122</v>
      </c>
      <c r="B4556">
        <v>215798</v>
      </c>
    </row>
    <row r="4557" spans="1:2" x14ac:dyDescent="0.25">
      <c r="A4557" t="s">
        <v>7123</v>
      </c>
      <c r="B4557">
        <v>136701</v>
      </c>
    </row>
    <row r="4558" spans="1:2" x14ac:dyDescent="0.25">
      <c r="A4558" t="s">
        <v>7124</v>
      </c>
      <c r="B4558">
        <v>215813</v>
      </c>
    </row>
    <row r="4559" spans="1:2" x14ac:dyDescent="0.25">
      <c r="A4559" t="s">
        <v>7125</v>
      </c>
      <c r="B4559">
        <v>195580</v>
      </c>
    </row>
    <row r="4560" spans="1:2" x14ac:dyDescent="0.25">
      <c r="A4560" t="s">
        <v>7126</v>
      </c>
      <c r="B4560">
        <v>148627</v>
      </c>
    </row>
    <row r="4561" spans="1:2" x14ac:dyDescent="0.25">
      <c r="A4561" t="s">
        <v>7127</v>
      </c>
      <c r="B4561">
        <v>199607</v>
      </c>
    </row>
    <row r="4562" spans="1:2" x14ac:dyDescent="0.25">
      <c r="A4562" t="s">
        <v>7128</v>
      </c>
      <c r="B4562">
        <v>179195</v>
      </c>
    </row>
    <row r="4563" spans="1:2" x14ac:dyDescent="0.25">
      <c r="A4563" t="s">
        <v>7129</v>
      </c>
      <c r="B4563">
        <v>186469</v>
      </c>
    </row>
    <row r="4564" spans="1:2" x14ac:dyDescent="0.25">
      <c r="A4564" t="s">
        <v>7130</v>
      </c>
      <c r="B4564">
        <v>167729</v>
      </c>
    </row>
    <row r="4565" spans="1:2" x14ac:dyDescent="0.25">
      <c r="A4565" t="s">
        <v>7131</v>
      </c>
      <c r="B4565">
        <v>237783</v>
      </c>
    </row>
    <row r="4566" spans="1:2" x14ac:dyDescent="0.25">
      <c r="A4566" t="s">
        <v>7132</v>
      </c>
      <c r="B4566">
        <v>155830</v>
      </c>
    </row>
    <row r="4567" spans="1:2" x14ac:dyDescent="0.25">
      <c r="A4567" t="s">
        <v>7133</v>
      </c>
      <c r="B4567">
        <v>417646</v>
      </c>
    </row>
    <row r="4568" spans="1:2" x14ac:dyDescent="0.25">
      <c r="A4568" t="s">
        <v>7134</v>
      </c>
      <c r="B4568">
        <v>163851</v>
      </c>
    </row>
    <row r="4569" spans="1:2" x14ac:dyDescent="0.25">
      <c r="A4569" t="s">
        <v>7135</v>
      </c>
      <c r="B4569">
        <v>180647</v>
      </c>
    </row>
    <row r="4570" spans="1:2" x14ac:dyDescent="0.25">
      <c r="A4570" t="s">
        <v>7136</v>
      </c>
      <c r="B4570">
        <v>459532</v>
      </c>
    </row>
    <row r="4571" spans="1:2" x14ac:dyDescent="0.25">
      <c r="A4571" t="s">
        <v>7137</v>
      </c>
      <c r="B4571">
        <v>485874</v>
      </c>
    </row>
    <row r="4572" spans="1:2" x14ac:dyDescent="0.25">
      <c r="A4572" t="s">
        <v>7138</v>
      </c>
      <c r="B4572">
        <v>476629</v>
      </c>
    </row>
    <row r="4573" spans="1:2" x14ac:dyDescent="0.25">
      <c r="A4573" t="s">
        <v>7139</v>
      </c>
      <c r="B4573">
        <v>491835</v>
      </c>
    </row>
    <row r="4574" spans="1:2" x14ac:dyDescent="0.25">
      <c r="A4574" t="s">
        <v>7140</v>
      </c>
      <c r="B4574">
        <v>497222</v>
      </c>
    </row>
    <row r="4575" spans="1:2" x14ac:dyDescent="0.25">
      <c r="A4575" t="s">
        <v>7141</v>
      </c>
      <c r="B4575">
        <v>121868</v>
      </c>
    </row>
    <row r="4576" spans="1:2" x14ac:dyDescent="0.25">
      <c r="A4576" t="s">
        <v>7142</v>
      </c>
      <c r="B4576">
        <v>456588</v>
      </c>
    </row>
    <row r="4577" spans="1:2" x14ac:dyDescent="0.25">
      <c r="A4577" t="s">
        <v>7143</v>
      </c>
      <c r="B4577">
        <v>456597</v>
      </c>
    </row>
    <row r="4578" spans="1:2" x14ac:dyDescent="0.25">
      <c r="A4578" t="s">
        <v>7144</v>
      </c>
      <c r="B4578">
        <v>115357</v>
      </c>
    </row>
    <row r="4579" spans="1:2" x14ac:dyDescent="0.25">
      <c r="A4579" t="s">
        <v>7145</v>
      </c>
      <c r="B4579">
        <v>121859</v>
      </c>
    </row>
    <row r="4580" spans="1:2" x14ac:dyDescent="0.25">
      <c r="A4580" t="s">
        <v>7146</v>
      </c>
      <c r="B4580">
        <v>492953</v>
      </c>
    </row>
    <row r="4581" spans="1:2" x14ac:dyDescent="0.25">
      <c r="A4581" t="s">
        <v>7147</v>
      </c>
      <c r="B4581">
        <v>230746</v>
      </c>
    </row>
    <row r="4582" spans="1:2" x14ac:dyDescent="0.25">
      <c r="A4582" t="s">
        <v>7148</v>
      </c>
      <c r="B4582">
        <v>214564</v>
      </c>
    </row>
    <row r="4583" spans="1:2" x14ac:dyDescent="0.25">
      <c r="A4583" t="s">
        <v>7149</v>
      </c>
      <c r="B4583">
        <v>217536</v>
      </c>
    </row>
    <row r="4584" spans="1:2" x14ac:dyDescent="0.25">
      <c r="A4584" t="s">
        <v>7150</v>
      </c>
      <c r="B4584">
        <v>227881</v>
      </c>
    </row>
    <row r="4585" spans="1:2" x14ac:dyDescent="0.25">
      <c r="A4585" t="s">
        <v>7151</v>
      </c>
      <c r="B4585">
        <v>195289</v>
      </c>
    </row>
    <row r="4586" spans="1:2" x14ac:dyDescent="0.25">
      <c r="A4586" t="s">
        <v>7152</v>
      </c>
      <c r="B4586">
        <v>102049</v>
      </c>
    </row>
    <row r="4587" spans="1:2" x14ac:dyDescent="0.25">
      <c r="A4587" t="s">
        <v>7153</v>
      </c>
      <c r="B4587">
        <v>199625</v>
      </c>
    </row>
    <row r="4588" spans="1:2" x14ac:dyDescent="0.25">
      <c r="A4588" t="s">
        <v>7154</v>
      </c>
      <c r="B4588">
        <v>122296</v>
      </c>
    </row>
    <row r="4589" spans="1:2" x14ac:dyDescent="0.25">
      <c r="A4589" t="s">
        <v>7155</v>
      </c>
      <c r="B4589">
        <v>227924</v>
      </c>
    </row>
    <row r="4590" spans="1:2" x14ac:dyDescent="0.25">
      <c r="A4590" t="s">
        <v>7156</v>
      </c>
      <c r="B4590">
        <v>491543</v>
      </c>
    </row>
    <row r="4591" spans="1:2" x14ac:dyDescent="0.25">
      <c r="A4591" t="s">
        <v>7157</v>
      </c>
      <c r="B4591">
        <v>428426</v>
      </c>
    </row>
    <row r="4592" spans="1:2" x14ac:dyDescent="0.25">
      <c r="A4592" t="s">
        <v>7158</v>
      </c>
      <c r="B4592">
        <v>123527</v>
      </c>
    </row>
    <row r="4593" spans="1:2" x14ac:dyDescent="0.25">
      <c r="A4593" t="s">
        <v>7159</v>
      </c>
      <c r="B4593">
        <v>112084</v>
      </c>
    </row>
    <row r="4594" spans="1:2" x14ac:dyDescent="0.25">
      <c r="A4594" t="s">
        <v>7160</v>
      </c>
      <c r="B4594">
        <v>122339</v>
      </c>
    </row>
    <row r="4595" spans="1:2" x14ac:dyDescent="0.25">
      <c r="A4595" t="s">
        <v>7161</v>
      </c>
      <c r="B4595">
        <v>122320</v>
      </c>
    </row>
    <row r="4596" spans="1:2" x14ac:dyDescent="0.25">
      <c r="A4596" t="s">
        <v>7162</v>
      </c>
      <c r="B4596">
        <v>493512</v>
      </c>
    </row>
    <row r="4597" spans="1:2" x14ac:dyDescent="0.25">
      <c r="A4597" t="s">
        <v>7163</v>
      </c>
      <c r="B4597">
        <v>122375</v>
      </c>
    </row>
    <row r="4598" spans="1:2" x14ac:dyDescent="0.25">
      <c r="A4598" t="s">
        <v>7164</v>
      </c>
      <c r="B4598">
        <v>122384</v>
      </c>
    </row>
    <row r="4599" spans="1:2" x14ac:dyDescent="0.25">
      <c r="A4599" t="s">
        <v>7165</v>
      </c>
      <c r="B4599">
        <v>122409</v>
      </c>
    </row>
    <row r="4600" spans="1:2" x14ac:dyDescent="0.25">
      <c r="A4600" t="s">
        <v>7166</v>
      </c>
      <c r="B4600">
        <v>122454</v>
      </c>
    </row>
    <row r="4601" spans="1:2" x14ac:dyDescent="0.25">
      <c r="A4601" t="s">
        <v>7167</v>
      </c>
      <c r="B4601">
        <v>120166</v>
      </c>
    </row>
    <row r="4602" spans="1:2" x14ac:dyDescent="0.25">
      <c r="A4602" t="s">
        <v>7168</v>
      </c>
      <c r="B4602">
        <v>122506</v>
      </c>
    </row>
    <row r="4603" spans="1:2" x14ac:dyDescent="0.25">
      <c r="A4603" t="s">
        <v>7169</v>
      </c>
      <c r="B4603">
        <v>486372</v>
      </c>
    </row>
    <row r="4604" spans="1:2" x14ac:dyDescent="0.25">
      <c r="A4604" t="s">
        <v>7170</v>
      </c>
      <c r="B4604">
        <v>454777</v>
      </c>
    </row>
    <row r="4605" spans="1:2" x14ac:dyDescent="0.25">
      <c r="A4605" t="s">
        <v>7171</v>
      </c>
      <c r="B4605">
        <v>122597</v>
      </c>
    </row>
    <row r="4606" spans="1:2" x14ac:dyDescent="0.25">
      <c r="A4606" t="s">
        <v>7172</v>
      </c>
      <c r="B4606">
        <v>486239</v>
      </c>
    </row>
    <row r="4607" spans="1:2" x14ac:dyDescent="0.25">
      <c r="A4607" t="s">
        <v>7173</v>
      </c>
      <c r="B4607">
        <v>227979</v>
      </c>
    </row>
    <row r="4608" spans="1:2" x14ac:dyDescent="0.25">
      <c r="A4608" t="s">
        <v>7174</v>
      </c>
      <c r="B4608">
        <v>122649</v>
      </c>
    </row>
    <row r="4609" spans="1:2" x14ac:dyDescent="0.25">
      <c r="A4609" t="s">
        <v>7175</v>
      </c>
      <c r="B4609">
        <v>122658</v>
      </c>
    </row>
    <row r="4610" spans="1:2" x14ac:dyDescent="0.25">
      <c r="A4610" t="s">
        <v>7176</v>
      </c>
      <c r="B4610">
        <v>495943</v>
      </c>
    </row>
    <row r="4611" spans="1:2" x14ac:dyDescent="0.25">
      <c r="A4611" t="s">
        <v>7177</v>
      </c>
      <c r="B4611">
        <v>122694</v>
      </c>
    </row>
    <row r="4612" spans="1:2" x14ac:dyDescent="0.25">
      <c r="A4612" t="s">
        <v>7178</v>
      </c>
      <c r="B4612">
        <v>448381</v>
      </c>
    </row>
    <row r="4613" spans="1:2" x14ac:dyDescent="0.25">
      <c r="A4613" t="s">
        <v>7179</v>
      </c>
      <c r="B4613">
        <v>495934</v>
      </c>
    </row>
    <row r="4614" spans="1:2" x14ac:dyDescent="0.25">
      <c r="A4614" t="s">
        <v>7180</v>
      </c>
      <c r="B4614">
        <v>262457</v>
      </c>
    </row>
    <row r="4615" spans="1:2" x14ac:dyDescent="0.25">
      <c r="A4615" t="s">
        <v>7181</v>
      </c>
      <c r="B4615">
        <v>422020</v>
      </c>
    </row>
    <row r="4616" spans="1:2" x14ac:dyDescent="0.25">
      <c r="A4616" t="s">
        <v>7182</v>
      </c>
      <c r="B4616">
        <v>468291</v>
      </c>
    </row>
    <row r="4617" spans="1:2" x14ac:dyDescent="0.25">
      <c r="A4617" t="s">
        <v>7183</v>
      </c>
      <c r="B4617">
        <v>456852</v>
      </c>
    </row>
    <row r="4618" spans="1:2" x14ac:dyDescent="0.25">
      <c r="A4618" t="s">
        <v>7184</v>
      </c>
      <c r="B4618">
        <v>481775</v>
      </c>
    </row>
    <row r="4619" spans="1:2" x14ac:dyDescent="0.25">
      <c r="A4619" t="s">
        <v>7185</v>
      </c>
      <c r="B4619">
        <v>495925</v>
      </c>
    </row>
    <row r="4620" spans="1:2" x14ac:dyDescent="0.25">
      <c r="A4620" t="s">
        <v>7186</v>
      </c>
      <c r="B4620">
        <v>447351</v>
      </c>
    </row>
    <row r="4621" spans="1:2" x14ac:dyDescent="0.25">
      <c r="A4621" t="s">
        <v>7187</v>
      </c>
      <c r="B4621">
        <v>442444</v>
      </c>
    </row>
    <row r="4622" spans="1:2" x14ac:dyDescent="0.25">
      <c r="A4622" t="s">
        <v>7188</v>
      </c>
      <c r="B4622">
        <v>495998</v>
      </c>
    </row>
    <row r="4623" spans="1:2" x14ac:dyDescent="0.25">
      <c r="A4623" t="s">
        <v>7189</v>
      </c>
      <c r="B4623">
        <v>448372</v>
      </c>
    </row>
    <row r="4624" spans="1:2" x14ac:dyDescent="0.25">
      <c r="A4624" t="s">
        <v>7190</v>
      </c>
      <c r="B4624">
        <v>495952</v>
      </c>
    </row>
    <row r="4625" spans="1:2" x14ac:dyDescent="0.25">
      <c r="A4625" t="s">
        <v>7191</v>
      </c>
      <c r="B4625">
        <v>495961</v>
      </c>
    </row>
    <row r="4626" spans="1:2" x14ac:dyDescent="0.25">
      <c r="A4626" t="s">
        <v>7192</v>
      </c>
      <c r="B4626">
        <v>475176</v>
      </c>
    </row>
    <row r="4627" spans="1:2" x14ac:dyDescent="0.25">
      <c r="A4627" t="s">
        <v>7193</v>
      </c>
      <c r="B4627">
        <v>122685</v>
      </c>
    </row>
    <row r="4628" spans="1:2" x14ac:dyDescent="0.25">
      <c r="A4628" t="s">
        <v>7194</v>
      </c>
      <c r="B4628">
        <v>122746</v>
      </c>
    </row>
    <row r="4629" spans="1:2" x14ac:dyDescent="0.25">
      <c r="A4629" t="s">
        <v>7195</v>
      </c>
      <c r="B4629">
        <v>122755</v>
      </c>
    </row>
    <row r="4630" spans="1:2" x14ac:dyDescent="0.25">
      <c r="A4630" t="s">
        <v>7196</v>
      </c>
      <c r="B4630">
        <v>122737</v>
      </c>
    </row>
    <row r="4631" spans="1:2" x14ac:dyDescent="0.25">
      <c r="A4631" t="s">
        <v>7197</v>
      </c>
      <c r="B4631">
        <v>430670</v>
      </c>
    </row>
    <row r="4632" spans="1:2" x14ac:dyDescent="0.25">
      <c r="A4632" t="s">
        <v>7198</v>
      </c>
      <c r="B4632">
        <v>188100</v>
      </c>
    </row>
    <row r="4633" spans="1:2" x14ac:dyDescent="0.25">
      <c r="A4633" t="s">
        <v>7199</v>
      </c>
      <c r="B4633">
        <v>122782</v>
      </c>
    </row>
    <row r="4634" spans="1:2" x14ac:dyDescent="0.25">
      <c r="A4634" t="s">
        <v>7200</v>
      </c>
      <c r="B4634">
        <v>199634</v>
      </c>
    </row>
    <row r="4635" spans="1:2" x14ac:dyDescent="0.25">
      <c r="A4635" t="s">
        <v>7201</v>
      </c>
      <c r="B4635">
        <v>486442</v>
      </c>
    </row>
    <row r="4636" spans="1:2" x14ac:dyDescent="0.25">
      <c r="A4636" t="s">
        <v>7202</v>
      </c>
      <c r="B4636">
        <v>383330</v>
      </c>
    </row>
    <row r="4637" spans="1:2" x14ac:dyDescent="0.25">
      <c r="A4637" t="s">
        <v>7203</v>
      </c>
      <c r="B4637">
        <v>481535</v>
      </c>
    </row>
    <row r="4638" spans="1:2" x14ac:dyDescent="0.25">
      <c r="A4638" t="s">
        <v>7204</v>
      </c>
      <c r="B4638">
        <v>219392</v>
      </c>
    </row>
    <row r="4639" spans="1:2" x14ac:dyDescent="0.25">
      <c r="A4639" t="s">
        <v>7205</v>
      </c>
      <c r="B4639">
        <v>493895</v>
      </c>
    </row>
    <row r="4640" spans="1:2" x14ac:dyDescent="0.25">
      <c r="A4640" t="s">
        <v>7206</v>
      </c>
      <c r="B4640">
        <v>461500</v>
      </c>
    </row>
    <row r="4641" spans="1:2" x14ac:dyDescent="0.25">
      <c r="A4641" t="s">
        <v>7207</v>
      </c>
      <c r="B4641">
        <v>481128</v>
      </c>
    </row>
    <row r="4642" spans="1:2" x14ac:dyDescent="0.25">
      <c r="A4642" t="s">
        <v>7208</v>
      </c>
      <c r="B4642">
        <v>121619</v>
      </c>
    </row>
    <row r="4643" spans="1:2" x14ac:dyDescent="0.25">
      <c r="A4643" t="s">
        <v>7209</v>
      </c>
      <c r="B4643">
        <v>122834</v>
      </c>
    </row>
    <row r="4644" spans="1:2" x14ac:dyDescent="0.25">
      <c r="A4644" t="s">
        <v>7210</v>
      </c>
      <c r="B4644">
        <v>122852</v>
      </c>
    </row>
    <row r="4645" spans="1:2" x14ac:dyDescent="0.25">
      <c r="A4645" t="s">
        <v>7211</v>
      </c>
      <c r="B4645">
        <v>122889</v>
      </c>
    </row>
    <row r="4646" spans="1:2" x14ac:dyDescent="0.25">
      <c r="A4646" t="s">
        <v>7212</v>
      </c>
      <c r="B4646">
        <v>122931</v>
      </c>
    </row>
    <row r="4647" spans="1:2" x14ac:dyDescent="0.25">
      <c r="A4647" t="s">
        <v>7213</v>
      </c>
      <c r="B4647">
        <v>137096</v>
      </c>
    </row>
    <row r="4648" spans="1:2" x14ac:dyDescent="0.25">
      <c r="A4648" t="s">
        <v>7214</v>
      </c>
      <c r="B4648">
        <v>188137</v>
      </c>
    </row>
    <row r="4649" spans="1:2" x14ac:dyDescent="0.25">
      <c r="A4649" t="s">
        <v>7215</v>
      </c>
      <c r="B4649">
        <v>122977</v>
      </c>
    </row>
    <row r="4650" spans="1:2" x14ac:dyDescent="0.25">
      <c r="A4650" t="s">
        <v>7216</v>
      </c>
      <c r="B4650">
        <v>123013</v>
      </c>
    </row>
    <row r="4651" spans="1:2" x14ac:dyDescent="0.25">
      <c r="A4651" t="s">
        <v>7217</v>
      </c>
      <c r="B4651">
        <v>399212</v>
      </c>
    </row>
    <row r="4652" spans="1:2" x14ac:dyDescent="0.25">
      <c r="A4652" t="s">
        <v>7218</v>
      </c>
      <c r="B4652">
        <v>195304</v>
      </c>
    </row>
    <row r="4653" spans="1:2" x14ac:dyDescent="0.25">
      <c r="A4653" t="s">
        <v>7219</v>
      </c>
      <c r="B4653">
        <v>406149</v>
      </c>
    </row>
    <row r="4654" spans="1:2" x14ac:dyDescent="0.25">
      <c r="A4654" t="s">
        <v>7220</v>
      </c>
      <c r="B4654">
        <v>148672</v>
      </c>
    </row>
    <row r="4655" spans="1:2" x14ac:dyDescent="0.25">
      <c r="A4655" t="s">
        <v>7221</v>
      </c>
      <c r="B4655">
        <v>140951</v>
      </c>
    </row>
    <row r="4656" spans="1:2" x14ac:dyDescent="0.25">
      <c r="A4656" t="s">
        <v>7222</v>
      </c>
      <c r="B4656">
        <v>140960</v>
      </c>
    </row>
    <row r="4657" spans="1:2" x14ac:dyDescent="0.25">
      <c r="A4657" t="s">
        <v>7223</v>
      </c>
      <c r="B4657">
        <v>140942</v>
      </c>
    </row>
    <row r="4658" spans="1:2" x14ac:dyDescent="0.25">
      <c r="A4658" t="s">
        <v>7224</v>
      </c>
      <c r="B4658">
        <v>123095</v>
      </c>
    </row>
    <row r="4659" spans="1:2" x14ac:dyDescent="0.25">
      <c r="A4659" t="s">
        <v>7225</v>
      </c>
      <c r="B4659">
        <v>195322</v>
      </c>
    </row>
    <row r="4660" spans="1:2" x14ac:dyDescent="0.25">
      <c r="A4660" t="s">
        <v>7226</v>
      </c>
      <c r="B4660">
        <v>404338</v>
      </c>
    </row>
    <row r="4661" spans="1:2" x14ac:dyDescent="0.25">
      <c r="A4661" t="s">
        <v>7227</v>
      </c>
      <c r="B4661">
        <v>131061</v>
      </c>
    </row>
    <row r="4662" spans="1:2" x14ac:dyDescent="0.25">
      <c r="A4662" t="s">
        <v>7228</v>
      </c>
      <c r="B4662">
        <v>377218</v>
      </c>
    </row>
    <row r="4663" spans="1:2" x14ac:dyDescent="0.25">
      <c r="A4663" t="s">
        <v>7229</v>
      </c>
      <c r="B4663">
        <v>480727</v>
      </c>
    </row>
    <row r="4664" spans="1:2" x14ac:dyDescent="0.25">
      <c r="A4664" t="s">
        <v>7230</v>
      </c>
      <c r="B4664">
        <v>392354</v>
      </c>
    </row>
    <row r="4665" spans="1:2" x14ac:dyDescent="0.25">
      <c r="A4665" t="s">
        <v>7231</v>
      </c>
      <c r="B4665">
        <v>143048</v>
      </c>
    </row>
    <row r="4666" spans="1:2" x14ac:dyDescent="0.25">
      <c r="A4666" t="s">
        <v>7232</v>
      </c>
      <c r="B4666">
        <v>197151</v>
      </c>
    </row>
    <row r="4667" spans="1:2" x14ac:dyDescent="0.25">
      <c r="A4667" t="s">
        <v>7233</v>
      </c>
      <c r="B4667">
        <v>172200</v>
      </c>
    </row>
    <row r="4668" spans="1:2" x14ac:dyDescent="0.25">
      <c r="A4668" t="s">
        <v>7234</v>
      </c>
      <c r="B4668">
        <v>228042</v>
      </c>
    </row>
    <row r="4669" spans="1:2" x14ac:dyDescent="0.25">
      <c r="A4669" t="s">
        <v>7235</v>
      </c>
      <c r="B4669">
        <v>406325</v>
      </c>
    </row>
    <row r="4670" spans="1:2" x14ac:dyDescent="0.25">
      <c r="A4670" t="s">
        <v>7236</v>
      </c>
      <c r="B4670">
        <v>215886</v>
      </c>
    </row>
    <row r="4671" spans="1:2" x14ac:dyDescent="0.25">
      <c r="A4671" t="s">
        <v>7237</v>
      </c>
      <c r="B4671">
        <v>407577</v>
      </c>
    </row>
    <row r="4672" spans="1:2" x14ac:dyDescent="0.25">
      <c r="A4672" t="s">
        <v>7238</v>
      </c>
      <c r="B4672">
        <v>105747</v>
      </c>
    </row>
    <row r="4673" spans="1:2" x14ac:dyDescent="0.25">
      <c r="A4673" t="s">
        <v>7239</v>
      </c>
      <c r="B4673">
        <v>123165</v>
      </c>
    </row>
    <row r="4674" spans="1:2" x14ac:dyDescent="0.25">
      <c r="A4674" t="s">
        <v>7240</v>
      </c>
      <c r="B4674">
        <v>107831</v>
      </c>
    </row>
    <row r="4675" spans="1:2" x14ac:dyDescent="0.25">
      <c r="A4675" t="s">
        <v>7241</v>
      </c>
      <c r="B4675">
        <v>236513</v>
      </c>
    </row>
    <row r="4676" spans="1:2" x14ac:dyDescent="0.25">
      <c r="A4676" t="s">
        <v>7242</v>
      </c>
      <c r="B4676">
        <v>488448</v>
      </c>
    </row>
    <row r="4677" spans="1:2" x14ac:dyDescent="0.25">
      <c r="A4677" t="s">
        <v>7243</v>
      </c>
      <c r="B4677">
        <v>439914</v>
      </c>
    </row>
    <row r="4678" spans="1:2" x14ac:dyDescent="0.25">
      <c r="A4678" t="s">
        <v>7244</v>
      </c>
      <c r="B4678">
        <v>236577</v>
      </c>
    </row>
    <row r="4679" spans="1:2" x14ac:dyDescent="0.25">
      <c r="A4679" t="s">
        <v>7245</v>
      </c>
      <c r="B4679">
        <v>236595</v>
      </c>
    </row>
    <row r="4680" spans="1:2" x14ac:dyDescent="0.25">
      <c r="A4680" t="s">
        <v>7246</v>
      </c>
      <c r="B4680">
        <v>369695</v>
      </c>
    </row>
    <row r="4681" spans="1:2" x14ac:dyDescent="0.25">
      <c r="A4681" t="s">
        <v>7247</v>
      </c>
      <c r="B4681">
        <v>246406</v>
      </c>
    </row>
    <row r="4682" spans="1:2" x14ac:dyDescent="0.25">
      <c r="A4682" t="s">
        <v>7248</v>
      </c>
      <c r="B4682">
        <v>368540</v>
      </c>
    </row>
    <row r="4683" spans="1:2" x14ac:dyDescent="0.25">
      <c r="A4683" t="s">
        <v>7249</v>
      </c>
      <c r="B4683">
        <v>228088</v>
      </c>
    </row>
    <row r="4684" spans="1:2" x14ac:dyDescent="0.25">
      <c r="A4684" t="s">
        <v>7250</v>
      </c>
      <c r="B4684">
        <v>102058</v>
      </c>
    </row>
    <row r="4685" spans="1:2" x14ac:dyDescent="0.25">
      <c r="A4685" t="s">
        <v>7251</v>
      </c>
      <c r="B4685">
        <v>386153</v>
      </c>
    </row>
    <row r="4686" spans="1:2" x14ac:dyDescent="0.25">
      <c r="A4686" t="s">
        <v>7252</v>
      </c>
      <c r="B4686">
        <v>243498</v>
      </c>
    </row>
    <row r="4687" spans="1:2" x14ac:dyDescent="0.25">
      <c r="A4687" t="s">
        <v>7253</v>
      </c>
      <c r="B4687">
        <v>491817</v>
      </c>
    </row>
    <row r="4688" spans="1:2" x14ac:dyDescent="0.25">
      <c r="A4688" t="s">
        <v>7254</v>
      </c>
      <c r="B4688">
        <v>207740</v>
      </c>
    </row>
    <row r="4689" spans="1:2" x14ac:dyDescent="0.25">
      <c r="A4689" t="s">
        <v>7255</v>
      </c>
      <c r="B4689">
        <v>137209</v>
      </c>
    </row>
    <row r="4690" spans="1:2" x14ac:dyDescent="0.25">
      <c r="A4690" t="s">
        <v>7256</v>
      </c>
      <c r="B4690">
        <v>232885</v>
      </c>
    </row>
    <row r="4691" spans="1:2" x14ac:dyDescent="0.25">
      <c r="A4691" t="s">
        <v>7257</v>
      </c>
      <c r="B4691">
        <v>475839</v>
      </c>
    </row>
    <row r="4692" spans="1:2" x14ac:dyDescent="0.25">
      <c r="A4692" t="s">
        <v>7258</v>
      </c>
      <c r="B4692">
        <v>186584</v>
      </c>
    </row>
    <row r="4693" spans="1:2" x14ac:dyDescent="0.25">
      <c r="A4693" t="s">
        <v>7259</v>
      </c>
      <c r="B4693">
        <v>215947</v>
      </c>
    </row>
    <row r="4694" spans="1:2" x14ac:dyDescent="0.25">
      <c r="A4694" t="s">
        <v>7260</v>
      </c>
      <c r="B4694">
        <v>483939</v>
      </c>
    </row>
    <row r="4695" spans="1:2" x14ac:dyDescent="0.25">
      <c r="A4695" t="s">
        <v>7261</v>
      </c>
      <c r="B4695">
        <v>155858</v>
      </c>
    </row>
    <row r="4696" spans="1:2" x14ac:dyDescent="0.25">
      <c r="A4696" t="s">
        <v>7262</v>
      </c>
      <c r="B4696">
        <v>215983</v>
      </c>
    </row>
    <row r="4697" spans="1:2" x14ac:dyDescent="0.25">
      <c r="A4697" t="s">
        <v>7263</v>
      </c>
      <c r="B4697">
        <v>481331</v>
      </c>
    </row>
    <row r="4698" spans="1:2" x14ac:dyDescent="0.25">
      <c r="A4698" t="s">
        <v>7264</v>
      </c>
      <c r="B4698">
        <v>391759</v>
      </c>
    </row>
    <row r="4699" spans="1:2" x14ac:dyDescent="0.25">
      <c r="A4699" t="s">
        <v>7265</v>
      </c>
      <c r="B4699">
        <v>123280</v>
      </c>
    </row>
    <row r="4700" spans="1:2" x14ac:dyDescent="0.25">
      <c r="A4700" t="s">
        <v>7266</v>
      </c>
      <c r="B4700">
        <v>123299</v>
      </c>
    </row>
    <row r="4701" spans="1:2" x14ac:dyDescent="0.25">
      <c r="A4701" t="s">
        <v>7267</v>
      </c>
      <c r="B4701">
        <v>121637</v>
      </c>
    </row>
    <row r="4702" spans="1:2" x14ac:dyDescent="0.25">
      <c r="A4702" t="s">
        <v>7268</v>
      </c>
      <c r="B4702">
        <v>199643</v>
      </c>
    </row>
    <row r="4703" spans="1:2" x14ac:dyDescent="0.25">
      <c r="A4703" t="s">
        <v>7269</v>
      </c>
      <c r="B4703">
        <v>439932</v>
      </c>
    </row>
    <row r="4704" spans="1:2" x14ac:dyDescent="0.25">
      <c r="A4704" t="s">
        <v>7270</v>
      </c>
      <c r="B4704">
        <v>148821</v>
      </c>
    </row>
    <row r="4705" spans="1:2" x14ac:dyDescent="0.25">
      <c r="A4705" t="s">
        <v>7271</v>
      </c>
      <c r="B4705">
        <v>205443</v>
      </c>
    </row>
    <row r="4706" spans="1:2" x14ac:dyDescent="0.25">
      <c r="A4706" t="s">
        <v>7272</v>
      </c>
      <c r="B4706">
        <v>412535</v>
      </c>
    </row>
    <row r="4707" spans="1:2" x14ac:dyDescent="0.25">
      <c r="A4707" t="s">
        <v>7273</v>
      </c>
      <c r="B4707">
        <v>412544</v>
      </c>
    </row>
    <row r="4708" spans="1:2" x14ac:dyDescent="0.25">
      <c r="A4708" t="s">
        <v>7274</v>
      </c>
      <c r="B4708">
        <v>451167</v>
      </c>
    </row>
    <row r="4709" spans="1:2" x14ac:dyDescent="0.25">
      <c r="A4709" t="s">
        <v>7275</v>
      </c>
      <c r="B4709">
        <v>480842</v>
      </c>
    </row>
    <row r="4710" spans="1:2" x14ac:dyDescent="0.25">
      <c r="A4710" t="s">
        <v>7276</v>
      </c>
      <c r="B4710">
        <v>493789</v>
      </c>
    </row>
    <row r="4711" spans="1:2" x14ac:dyDescent="0.25">
      <c r="A4711" t="s">
        <v>7277</v>
      </c>
      <c r="B4711">
        <v>496760</v>
      </c>
    </row>
    <row r="4712" spans="1:2" x14ac:dyDescent="0.25">
      <c r="A4712" t="s">
        <v>7278</v>
      </c>
      <c r="B4712">
        <v>102067</v>
      </c>
    </row>
    <row r="4713" spans="1:2" x14ac:dyDescent="0.25">
      <c r="A4713" t="s">
        <v>7279</v>
      </c>
      <c r="B4713">
        <v>233541</v>
      </c>
    </row>
    <row r="4714" spans="1:2" x14ac:dyDescent="0.25">
      <c r="A4714" t="s">
        <v>7280</v>
      </c>
      <c r="B4714">
        <v>237792</v>
      </c>
    </row>
    <row r="4715" spans="1:2" x14ac:dyDescent="0.25">
      <c r="A4715" t="s">
        <v>7281</v>
      </c>
      <c r="B4715">
        <v>481137</v>
      </c>
    </row>
    <row r="4716" spans="1:2" x14ac:dyDescent="0.25">
      <c r="A4716" t="s">
        <v>7282</v>
      </c>
      <c r="B4716">
        <v>461485</v>
      </c>
    </row>
    <row r="4717" spans="1:2" x14ac:dyDescent="0.25">
      <c r="A4717" t="s">
        <v>7283</v>
      </c>
      <c r="B4717">
        <v>137245</v>
      </c>
    </row>
    <row r="4718" spans="1:2" x14ac:dyDescent="0.25">
      <c r="A4718" t="s">
        <v>7284</v>
      </c>
      <c r="B4718">
        <v>218751</v>
      </c>
    </row>
    <row r="4719" spans="1:2" x14ac:dyDescent="0.25">
      <c r="A4719" t="s">
        <v>7285</v>
      </c>
      <c r="B4719">
        <v>480499</v>
      </c>
    </row>
    <row r="4720" spans="1:2" x14ac:dyDescent="0.25">
      <c r="A4720" t="s">
        <v>7286</v>
      </c>
      <c r="B4720">
        <v>216010</v>
      </c>
    </row>
    <row r="4721" spans="1:2" x14ac:dyDescent="0.25">
      <c r="A4721" t="s">
        <v>7287</v>
      </c>
      <c r="B4721">
        <v>195438</v>
      </c>
    </row>
    <row r="4722" spans="1:2" x14ac:dyDescent="0.25">
      <c r="A4722" t="s">
        <v>7288</v>
      </c>
      <c r="B4722">
        <v>186593</v>
      </c>
    </row>
    <row r="4723" spans="1:2" x14ac:dyDescent="0.25">
      <c r="A4723" t="s">
        <v>7289</v>
      </c>
      <c r="B4723">
        <v>236610</v>
      </c>
    </row>
    <row r="4724" spans="1:2" x14ac:dyDescent="0.25">
      <c r="A4724" t="s">
        <v>8835</v>
      </c>
      <c r="B4724">
        <v>497240</v>
      </c>
    </row>
    <row r="4725" spans="1:2" x14ac:dyDescent="0.25">
      <c r="A4725" t="s">
        <v>8836</v>
      </c>
      <c r="B4725">
        <v>497259</v>
      </c>
    </row>
    <row r="4726" spans="1:2" x14ac:dyDescent="0.25">
      <c r="A4726" t="s">
        <v>7290</v>
      </c>
      <c r="B4726">
        <v>107840</v>
      </c>
    </row>
    <row r="4727" spans="1:2" x14ac:dyDescent="0.25">
      <c r="A4727" t="s">
        <v>7291</v>
      </c>
      <c r="B4727">
        <v>140988</v>
      </c>
    </row>
    <row r="4728" spans="1:2" x14ac:dyDescent="0.25">
      <c r="A4728" t="s">
        <v>7292</v>
      </c>
      <c r="B4728">
        <v>195474</v>
      </c>
    </row>
    <row r="4729" spans="1:2" x14ac:dyDescent="0.25">
      <c r="A4729" t="s">
        <v>7293</v>
      </c>
      <c r="B4729">
        <v>172264</v>
      </c>
    </row>
    <row r="4730" spans="1:2" x14ac:dyDescent="0.25">
      <c r="A4730" t="s">
        <v>7294</v>
      </c>
      <c r="B4730">
        <v>496733</v>
      </c>
    </row>
    <row r="4731" spans="1:2" x14ac:dyDescent="0.25">
      <c r="A4731" t="s">
        <v>7295</v>
      </c>
      <c r="B4731">
        <v>123341</v>
      </c>
    </row>
    <row r="4732" spans="1:2" x14ac:dyDescent="0.25">
      <c r="A4732" t="s">
        <v>7296</v>
      </c>
      <c r="B4732">
        <v>123350</v>
      </c>
    </row>
    <row r="4733" spans="1:2" x14ac:dyDescent="0.25">
      <c r="A4733" t="s">
        <v>7297</v>
      </c>
      <c r="B4733">
        <v>182458</v>
      </c>
    </row>
    <row r="4734" spans="1:2" x14ac:dyDescent="0.25">
      <c r="A4734" t="s">
        <v>7298</v>
      </c>
      <c r="B4734">
        <v>165060</v>
      </c>
    </row>
    <row r="4735" spans="1:2" x14ac:dyDescent="0.25">
      <c r="A4735" t="s">
        <v>7299</v>
      </c>
      <c r="B4735">
        <v>461759</v>
      </c>
    </row>
    <row r="4736" spans="1:2" x14ac:dyDescent="0.25">
      <c r="A4736" t="s">
        <v>7300</v>
      </c>
      <c r="B4736">
        <v>167783</v>
      </c>
    </row>
    <row r="4737" spans="1:2" x14ac:dyDescent="0.25">
      <c r="A4737" t="s">
        <v>7301</v>
      </c>
      <c r="B4737">
        <v>154350</v>
      </c>
    </row>
    <row r="4738" spans="1:2" x14ac:dyDescent="0.25">
      <c r="A4738" t="s">
        <v>7302</v>
      </c>
      <c r="B4738">
        <v>123457</v>
      </c>
    </row>
    <row r="4739" spans="1:2" x14ac:dyDescent="0.25">
      <c r="A4739" t="s">
        <v>7303</v>
      </c>
      <c r="B4739">
        <v>205470</v>
      </c>
    </row>
    <row r="4740" spans="1:2" x14ac:dyDescent="0.25">
      <c r="A4740" t="s">
        <v>7304</v>
      </c>
      <c r="B4740">
        <v>219374</v>
      </c>
    </row>
    <row r="4741" spans="1:2" x14ac:dyDescent="0.25">
      <c r="A4741" t="s">
        <v>7305</v>
      </c>
      <c r="B4741">
        <v>219240</v>
      </c>
    </row>
    <row r="4742" spans="1:2" x14ac:dyDescent="0.25">
      <c r="A4742" t="s">
        <v>7306</v>
      </c>
      <c r="B4742">
        <v>219408</v>
      </c>
    </row>
    <row r="4743" spans="1:2" x14ac:dyDescent="0.25">
      <c r="A4743" t="s">
        <v>7307</v>
      </c>
      <c r="B4743">
        <v>242060</v>
      </c>
    </row>
    <row r="4744" spans="1:2" x14ac:dyDescent="0.25">
      <c r="A4744" t="s">
        <v>7308</v>
      </c>
      <c r="B4744">
        <v>231068</v>
      </c>
    </row>
    <row r="4745" spans="1:2" x14ac:dyDescent="0.25">
      <c r="A4745" t="s">
        <v>7309</v>
      </c>
      <c r="B4745">
        <v>200466</v>
      </c>
    </row>
    <row r="4746" spans="1:2" x14ac:dyDescent="0.25">
      <c r="A4746" t="s">
        <v>7310</v>
      </c>
      <c r="B4746">
        <v>236638</v>
      </c>
    </row>
    <row r="4747" spans="1:2" x14ac:dyDescent="0.25">
      <c r="A4747" t="s">
        <v>7311</v>
      </c>
      <c r="B4747">
        <v>195526</v>
      </c>
    </row>
    <row r="4748" spans="1:2" x14ac:dyDescent="0.25">
      <c r="A4748" t="s">
        <v>7312</v>
      </c>
      <c r="B4748">
        <v>460932</v>
      </c>
    </row>
    <row r="4749" spans="1:2" x14ac:dyDescent="0.25">
      <c r="A4749" t="s">
        <v>7313</v>
      </c>
      <c r="B4749">
        <v>455381</v>
      </c>
    </row>
    <row r="4750" spans="1:2" x14ac:dyDescent="0.25">
      <c r="A4750" t="s">
        <v>7314</v>
      </c>
      <c r="B4750">
        <v>444857</v>
      </c>
    </row>
    <row r="4751" spans="1:2" x14ac:dyDescent="0.25">
      <c r="A4751" t="s">
        <v>7315</v>
      </c>
      <c r="B4751">
        <v>123509</v>
      </c>
    </row>
    <row r="4752" spans="1:2" x14ac:dyDescent="0.25">
      <c r="A4752" t="s">
        <v>7316</v>
      </c>
      <c r="B4752">
        <v>216038</v>
      </c>
    </row>
    <row r="4753" spans="1:2" x14ac:dyDescent="0.25">
      <c r="A4753" t="s">
        <v>7317</v>
      </c>
      <c r="B4753">
        <v>167835</v>
      </c>
    </row>
    <row r="4754" spans="1:2" x14ac:dyDescent="0.25">
      <c r="A4754" t="s">
        <v>7318</v>
      </c>
      <c r="B4754">
        <v>102076</v>
      </c>
    </row>
    <row r="4755" spans="1:2" x14ac:dyDescent="0.25">
      <c r="A4755" t="s">
        <v>7319</v>
      </c>
      <c r="B4755">
        <v>230597</v>
      </c>
    </row>
    <row r="4756" spans="1:2" x14ac:dyDescent="0.25">
      <c r="A4756" t="s">
        <v>7320</v>
      </c>
      <c r="B4756">
        <v>110778</v>
      </c>
    </row>
    <row r="4757" spans="1:2" x14ac:dyDescent="0.25">
      <c r="A4757" t="s">
        <v>7321</v>
      </c>
      <c r="B4757">
        <v>399911</v>
      </c>
    </row>
    <row r="4758" spans="1:2" x14ac:dyDescent="0.25">
      <c r="A4758" t="s">
        <v>7322</v>
      </c>
      <c r="B4758">
        <v>123563</v>
      </c>
    </row>
    <row r="4759" spans="1:2" x14ac:dyDescent="0.25">
      <c r="A4759" t="s">
        <v>7323</v>
      </c>
      <c r="B4759">
        <v>445957</v>
      </c>
    </row>
    <row r="4760" spans="1:2" x14ac:dyDescent="0.25">
      <c r="A4760" t="s">
        <v>7324</v>
      </c>
      <c r="B4760">
        <v>157711</v>
      </c>
    </row>
    <row r="4761" spans="1:2" x14ac:dyDescent="0.25">
      <c r="A4761" t="s">
        <v>7325</v>
      </c>
      <c r="B4761">
        <v>457943</v>
      </c>
    </row>
    <row r="4762" spans="1:2" x14ac:dyDescent="0.25">
      <c r="A4762" t="s">
        <v>7326</v>
      </c>
      <c r="B4762">
        <v>123572</v>
      </c>
    </row>
    <row r="4763" spans="1:2" x14ac:dyDescent="0.25">
      <c r="A4763" t="s">
        <v>7327</v>
      </c>
      <c r="B4763">
        <v>488077</v>
      </c>
    </row>
    <row r="4764" spans="1:2" x14ac:dyDescent="0.25">
      <c r="A4764" t="s">
        <v>7328</v>
      </c>
      <c r="B4764">
        <v>481094</v>
      </c>
    </row>
    <row r="4765" spans="1:2" x14ac:dyDescent="0.25">
      <c r="A4765" t="s">
        <v>7329</v>
      </c>
      <c r="B4765">
        <v>107974</v>
      </c>
    </row>
    <row r="4766" spans="1:2" x14ac:dyDescent="0.25">
      <c r="A4766" t="s">
        <v>7330</v>
      </c>
      <c r="B4766">
        <v>123633</v>
      </c>
    </row>
    <row r="4767" spans="1:2" x14ac:dyDescent="0.25">
      <c r="A4767" t="s">
        <v>7331</v>
      </c>
      <c r="B4767">
        <v>218733</v>
      </c>
    </row>
    <row r="4768" spans="1:2" x14ac:dyDescent="0.25">
      <c r="A4768" t="s">
        <v>7332</v>
      </c>
      <c r="B4768">
        <v>417637</v>
      </c>
    </row>
    <row r="4769" spans="1:2" x14ac:dyDescent="0.25">
      <c r="A4769" t="s">
        <v>7333</v>
      </c>
      <c r="B4769">
        <v>173911</v>
      </c>
    </row>
    <row r="4770" spans="1:2" x14ac:dyDescent="0.25">
      <c r="A4770" t="s">
        <v>7334</v>
      </c>
      <c r="B4770">
        <v>123642</v>
      </c>
    </row>
    <row r="4771" spans="1:2" x14ac:dyDescent="0.25">
      <c r="A4771" t="s">
        <v>7335</v>
      </c>
      <c r="B4771">
        <v>220552</v>
      </c>
    </row>
    <row r="4772" spans="1:2" x14ac:dyDescent="0.25">
      <c r="A4772" t="s">
        <v>7336</v>
      </c>
      <c r="B4772">
        <v>488891</v>
      </c>
    </row>
    <row r="4773" spans="1:2" x14ac:dyDescent="0.25">
      <c r="A4773" t="s">
        <v>7337</v>
      </c>
      <c r="B4773">
        <v>219347</v>
      </c>
    </row>
    <row r="4774" spans="1:2" x14ac:dyDescent="0.25">
      <c r="A4774" t="s">
        <v>7338</v>
      </c>
      <c r="B4774">
        <v>219356</v>
      </c>
    </row>
    <row r="4775" spans="1:2" x14ac:dyDescent="0.25">
      <c r="A4775" t="s">
        <v>7339</v>
      </c>
      <c r="B4775">
        <v>493637</v>
      </c>
    </row>
    <row r="4776" spans="1:2" x14ac:dyDescent="0.25">
      <c r="A4776" t="s">
        <v>7340</v>
      </c>
      <c r="B4776">
        <v>366003</v>
      </c>
    </row>
    <row r="4777" spans="1:2" x14ac:dyDescent="0.25">
      <c r="A4777" t="s">
        <v>7341</v>
      </c>
      <c r="B4777">
        <v>443252</v>
      </c>
    </row>
    <row r="4778" spans="1:2" x14ac:dyDescent="0.25">
      <c r="A4778" t="s">
        <v>7342</v>
      </c>
      <c r="B4778">
        <v>137315</v>
      </c>
    </row>
    <row r="4779" spans="1:2" x14ac:dyDescent="0.25">
      <c r="A4779" t="s">
        <v>7343</v>
      </c>
      <c r="B4779">
        <v>482699</v>
      </c>
    </row>
    <row r="4780" spans="1:2" x14ac:dyDescent="0.25">
      <c r="A4780" t="s">
        <v>7344</v>
      </c>
      <c r="B4780">
        <v>141006</v>
      </c>
    </row>
    <row r="4781" spans="1:2" x14ac:dyDescent="0.25">
      <c r="A4781" t="s">
        <v>7345</v>
      </c>
      <c r="B4781">
        <v>216074</v>
      </c>
    </row>
    <row r="4782" spans="1:2" x14ac:dyDescent="0.25">
      <c r="A4782" t="s">
        <v>7346</v>
      </c>
      <c r="B4782">
        <v>216083</v>
      </c>
    </row>
    <row r="4783" spans="1:2" x14ac:dyDescent="0.25">
      <c r="A4783" t="s">
        <v>7347</v>
      </c>
      <c r="B4783">
        <v>434061</v>
      </c>
    </row>
    <row r="4784" spans="1:2" x14ac:dyDescent="0.25">
      <c r="A4784" t="s">
        <v>7348</v>
      </c>
      <c r="B4784">
        <v>105792</v>
      </c>
    </row>
    <row r="4785" spans="1:2" x14ac:dyDescent="0.25">
      <c r="A4785" t="s">
        <v>7349</v>
      </c>
      <c r="B4785">
        <v>432144</v>
      </c>
    </row>
    <row r="4786" spans="1:2" x14ac:dyDescent="0.25">
      <c r="A4786" t="s">
        <v>7350</v>
      </c>
      <c r="B4786">
        <v>197850</v>
      </c>
    </row>
    <row r="4787" spans="1:2" x14ac:dyDescent="0.25">
      <c r="A4787" t="s">
        <v>7351</v>
      </c>
      <c r="B4787">
        <v>228158</v>
      </c>
    </row>
    <row r="4788" spans="1:2" x14ac:dyDescent="0.25">
      <c r="A4788" t="s">
        <v>7352</v>
      </c>
      <c r="B4788">
        <v>236656</v>
      </c>
    </row>
    <row r="4789" spans="1:2" x14ac:dyDescent="0.25">
      <c r="A4789" t="s">
        <v>7353</v>
      </c>
      <c r="B4789">
        <v>236504</v>
      </c>
    </row>
    <row r="4790" spans="1:2" x14ac:dyDescent="0.25">
      <c r="A4790" t="s">
        <v>7354</v>
      </c>
      <c r="B4790">
        <v>149365</v>
      </c>
    </row>
    <row r="4791" spans="1:2" x14ac:dyDescent="0.25">
      <c r="A4791" t="s">
        <v>7355</v>
      </c>
      <c r="B4791">
        <v>228185</v>
      </c>
    </row>
    <row r="4792" spans="1:2" x14ac:dyDescent="0.25">
      <c r="A4792" t="s">
        <v>7356</v>
      </c>
      <c r="B4792">
        <v>409315</v>
      </c>
    </row>
    <row r="4793" spans="1:2" x14ac:dyDescent="0.25">
      <c r="A4793" t="s">
        <v>7357</v>
      </c>
      <c r="B4793">
        <v>228194</v>
      </c>
    </row>
    <row r="4794" spans="1:2" x14ac:dyDescent="0.25">
      <c r="A4794" t="s">
        <v>7358</v>
      </c>
      <c r="B4794">
        <v>455974</v>
      </c>
    </row>
    <row r="4795" spans="1:2" x14ac:dyDescent="0.25">
      <c r="A4795" t="s">
        <v>7359</v>
      </c>
      <c r="B4795">
        <v>456922</v>
      </c>
    </row>
    <row r="4796" spans="1:2" x14ac:dyDescent="0.25">
      <c r="A4796" t="s">
        <v>7360</v>
      </c>
      <c r="B4796">
        <v>228200</v>
      </c>
    </row>
    <row r="4797" spans="1:2" x14ac:dyDescent="0.25">
      <c r="A4797" t="s">
        <v>7361</v>
      </c>
      <c r="B4797">
        <v>480073</v>
      </c>
    </row>
    <row r="4798" spans="1:2" x14ac:dyDescent="0.25">
      <c r="A4798" t="s">
        <v>7362</v>
      </c>
      <c r="B4798">
        <v>251312</v>
      </c>
    </row>
    <row r="4799" spans="1:2" x14ac:dyDescent="0.25">
      <c r="A4799" t="s">
        <v>7363</v>
      </c>
      <c r="B4799">
        <v>481720</v>
      </c>
    </row>
    <row r="4800" spans="1:2" x14ac:dyDescent="0.25">
      <c r="A4800" t="s">
        <v>7364</v>
      </c>
      <c r="B4800">
        <v>101116</v>
      </c>
    </row>
    <row r="4801" spans="1:2" x14ac:dyDescent="0.25">
      <c r="A4801" t="s">
        <v>7365</v>
      </c>
      <c r="B4801">
        <v>459259</v>
      </c>
    </row>
    <row r="4802" spans="1:2" x14ac:dyDescent="0.25">
      <c r="A4802" t="s">
        <v>7366</v>
      </c>
      <c r="B4802">
        <v>139579</v>
      </c>
    </row>
    <row r="4803" spans="1:2" x14ac:dyDescent="0.25">
      <c r="A4803" t="s">
        <v>7367</v>
      </c>
      <c r="B4803">
        <v>475121</v>
      </c>
    </row>
    <row r="4804" spans="1:2" x14ac:dyDescent="0.25">
      <c r="A4804" t="s">
        <v>7368</v>
      </c>
      <c r="B4804">
        <v>449898</v>
      </c>
    </row>
    <row r="4805" spans="1:2" x14ac:dyDescent="0.25">
      <c r="A4805" t="s">
        <v>7369</v>
      </c>
      <c r="B4805">
        <v>459268</v>
      </c>
    </row>
    <row r="4806" spans="1:2" x14ac:dyDescent="0.25">
      <c r="A4806" t="s">
        <v>7370</v>
      </c>
      <c r="B4806">
        <v>133465</v>
      </c>
    </row>
    <row r="4807" spans="1:2" x14ac:dyDescent="0.25">
      <c r="A4807" t="s">
        <v>7371</v>
      </c>
      <c r="B4807">
        <v>156338</v>
      </c>
    </row>
    <row r="4808" spans="1:2" x14ac:dyDescent="0.25">
      <c r="A4808" t="s">
        <v>7372</v>
      </c>
      <c r="B4808">
        <v>107637</v>
      </c>
    </row>
    <row r="4809" spans="1:2" x14ac:dyDescent="0.25">
      <c r="A4809" t="s">
        <v>7373</v>
      </c>
      <c r="B4809">
        <v>181640</v>
      </c>
    </row>
    <row r="4810" spans="1:2" x14ac:dyDescent="0.25">
      <c r="A4810" t="s">
        <v>7374</v>
      </c>
      <c r="B4810">
        <v>157739</v>
      </c>
    </row>
    <row r="4811" spans="1:2" x14ac:dyDescent="0.25">
      <c r="A4811" t="s">
        <v>7375</v>
      </c>
      <c r="B4811">
        <v>417734</v>
      </c>
    </row>
    <row r="4812" spans="1:2" x14ac:dyDescent="0.25">
      <c r="A4812" t="s">
        <v>7376</v>
      </c>
      <c r="B4812">
        <v>179557</v>
      </c>
    </row>
    <row r="4813" spans="1:2" x14ac:dyDescent="0.25">
      <c r="A4813" t="s">
        <v>7377</v>
      </c>
      <c r="B4813">
        <v>188003</v>
      </c>
    </row>
    <row r="4814" spans="1:2" x14ac:dyDescent="0.25">
      <c r="A4814" t="s">
        <v>7378</v>
      </c>
      <c r="B4814">
        <v>219426</v>
      </c>
    </row>
    <row r="4815" spans="1:2" x14ac:dyDescent="0.25">
      <c r="A4815" t="s">
        <v>7379</v>
      </c>
      <c r="B4815">
        <v>449807</v>
      </c>
    </row>
    <row r="4816" spans="1:2" x14ac:dyDescent="0.25">
      <c r="A4816" t="s">
        <v>7380</v>
      </c>
      <c r="B4816">
        <v>176336</v>
      </c>
    </row>
    <row r="4817" spans="1:2" x14ac:dyDescent="0.25">
      <c r="A4817" t="s">
        <v>7381</v>
      </c>
      <c r="B4817">
        <v>199759</v>
      </c>
    </row>
    <row r="4818" spans="1:2" x14ac:dyDescent="0.25">
      <c r="A4818" t="s">
        <v>7382</v>
      </c>
      <c r="B4818">
        <v>443261</v>
      </c>
    </row>
    <row r="4819" spans="1:2" x14ac:dyDescent="0.25">
      <c r="A4819" t="s">
        <v>7383</v>
      </c>
      <c r="B4819">
        <v>451352</v>
      </c>
    </row>
    <row r="4820" spans="1:2" x14ac:dyDescent="0.25">
      <c r="A4820" t="s">
        <v>7384</v>
      </c>
      <c r="B4820">
        <v>444866</v>
      </c>
    </row>
    <row r="4821" spans="1:2" x14ac:dyDescent="0.25">
      <c r="A4821" t="s">
        <v>7385</v>
      </c>
      <c r="B4821">
        <v>428170</v>
      </c>
    </row>
    <row r="4822" spans="1:2" x14ac:dyDescent="0.25">
      <c r="A4822" t="s">
        <v>7386</v>
      </c>
      <c r="B4822">
        <v>154378</v>
      </c>
    </row>
    <row r="4823" spans="1:2" x14ac:dyDescent="0.25">
      <c r="A4823" t="s">
        <v>7386</v>
      </c>
      <c r="B4823">
        <v>199722</v>
      </c>
    </row>
    <row r="4824" spans="1:2" x14ac:dyDescent="0.25">
      <c r="A4824" t="s">
        <v>7387</v>
      </c>
      <c r="B4824">
        <v>491923</v>
      </c>
    </row>
    <row r="4825" spans="1:2" x14ac:dyDescent="0.25">
      <c r="A4825" t="s">
        <v>7388</v>
      </c>
      <c r="B4825">
        <v>233602</v>
      </c>
    </row>
    <row r="4826" spans="1:2" x14ac:dyDescent="0.25">
      <c r="A4826" t="s">
        <v>7389</v>
      </c>
      <c r="B4826">
        <v>148937</v>
      </c>
    </row>
    <row r="4827" spans="1:2" x14ac:dyDescent="0.25">
      <c r="A4827" t="s">
        <v>7390</v>
      </c>
      <c r="B4827">
        <v>160612</v>
      </c>
    </row>
    <row r="4828" spans="1:2" x14ac:dyDescent="0.25">
      <c r="A4828" t="s">
        <v>7391</v>
      </c>
      <c r="B4828">
        <v>207847</v>
      </c>
    </row>
    <row r="4829" spans="1:2" x14ac:dyDescent="0.25">
      <c r="A4829" t="s">
        <v>7392</v>
      </c>
      <c r="B4829">
        <v>368911</v>
      </c>
    </row>
    <row r="4830" spans="1:2" x14ac:dyDescent="0.25">
      <c r="A4830" t="s">
        <v>7393</v>
      </c>
      <c r="B4830">
        <v>167871</v>
      </c>
    </row>
    <row r="4831" spans="1:2" x14ac:dyDescent="0.25">
      <c r="A4831" t="s">
        <v>7394</v>
      </c>
      <c r="B4831">
        <v>137564</v>
      </c>
    </row>
    <row r="4832" spans="1:2" x14ac:dyDescent="0.25">
      <c r="A4832" t="s">
        <v>7395</v>
      </c>
      <c r="B4832">
        <v>221661</v>
      </c>
    </row>
    <row r="4833" spans="1:2" x14ac:dyDescent="0.25">
      <c r="A4833" t="s">
        <v>7396</v>
      </c>
      <c r="B4833">
        <v>107983</v>
      </c>
    </row>
    <row r="4834" spans="1:2" x14ac:dyDescent="0.25">
      <c r="A4834" t="s">
        <v>7397</v>
      </c>
      <c r="B4834">
        <v>107992</v>
      </c>
    </row>
    <row r="4835" spans="1:2" x14ac:dyDescent="0.25">
      <c r="A4835" t="s">
        <v>7398</v>
      </c>
      <c r="B4835">
        <v>461856</v>
      </c>
    </row>
    <row r="4836" spans="1:2" x14ac:dyDescent="0.25">
      <c r="A4836" t="s">
        <v>7399</v>
      </c>
      <c r="B4836">
        <v>123952</v>
      </c>
    </row>
    <row r="4837" spans="1:2" x14ac:dyDescent="0.25">
      <c r="A4837" t="s">
        <v>7400</v>
      </c>
      <c r="B4837">
        <v>399869</v>
      </c>
    </row>
    <row r="4838" spans="1:2" x14ac:dyDescent="0.25">
      <c r="A4838" t="s">
        <v>7401</v>
      </c>
      <c r="B4838">
        <v>117575</v>
      </c>
    </row>
    <row r="4839" spans="1:2" x14ac:dyDescent="0.25">
      <c r="A4839" t="s">
        <v>7402</v>
      </c>
      <c r="B4839">
        <v>117672</v>
      </c>
    </row>
    <row r="4840" spans="1:2" x14ac:dyDescent="0.25">
      <c r="A4840" t="s">
        <v>7403</v>
      </c>
      <c r="B4840">
        <v>226903</v>
      </c>
    </row>
    <row r="4841" spans="1:2" x14ac:dyDescent="0.25">
      <c r="A4841" t="s">
        <v>7404</v>
      </c>
      <c r="B4841">
        <v>459967</v>
      </c>
    </row>
    <row r="4842" spans="1:2" x14ac:dyDescent="0.25">
      <c r="A4842" t="s">
        <v>7405</v>
      </c>
      <c r="B4842">
        <v>405076</v>
      </c>
    </row>
    <row r="4843" spans="1:2" x14ac:dyDescent="0.25">
      <c r="A4843" t="s">
        <v>7406</v>
      </c>
      <c r="B4843">
        <v>459985</v>
      </c>
    </row>
    <row r="4844" spans="1:2" x14ac:dyDescent="0.25">
      <c r="A4844" t="s">
        <v>7407</v>
      </c>
      <c r="B4844">
        <v>408385</v>
      </c>
    </row>
    <row r="4845" spans="1:2" x14ac:dyDescent="0.25">
      <c r="A4845" t="s">
        <v>7408</v>
      </c>
      <c r="B4845">
        <v>430245</v>
      </c>
    </row>
    <row r="4846" spans="1:2" x14ac:dyDescent="0.25">
      <c r="A4846" t="s">
        <v>7408</v>
      </c>
      <c r="B4846">
        <v>482015</v>
      </c>
    </row>
    <row r="4847" spans="1:2" x14ac:dyDescent="0.25">
      <c r="A4847" t="s">
        <v>7409</v>
      </c>
      <c r="B4847">
        <v>493992</v>
      </c>
    </row>
    <row r="4848" spans="1:2" x14ac:dyDescent="0.25">
      <c r="A4848" t="s">
        <v>7410</v>
      </c>
      <c r="B4848">
        <v>221670</v>
      </c>
    </row>
    <row r="4849" spans="1:2" x14ac:dyDescent="0.25">
      <c r="A4849" t="s">
        <v>7411</v>
      </c>
      <c r="B4849">
        <v>130493</v>
      </c>
    </row>
    <row r="4850" spans="1:2" x14ac:dyDescent="0.25">
      <c r="A4850" t="s">
        <v>7412</v>
      </c>
      <c r="B4850">
        <v>139986</v>
      </c>
    </row>
    <row r="4851" spans="1:2" x14ac:dyDescent="0.25">
      <c r="A4851" t="s">
        <v>7413</v>
      </c>
      <c r="B4851">
        <v>149222</v>
      </c>
    </row>
    <row r="4852" spans="1:2" x14ac:dyDescent="0.25">
      <c r="A4852" t="s">
        <v>7414</v>
      </c>
      <c r="B4852">
        <v>149231</v>
      </c>
    </row>
    <row r="4853" spans="1:2" x14ac:dyDescent="0.25">
      <c r="A4853" t="s">
        <v>7415</v>
      </c>
      <c r="B4853">
        <v>149240</v>
      </c>
    </row>
    <row r="4854" spans="1:2" x14ac:dyDescent="0.25">
      <c r="A4854" t="s">
        <v>7416</v>
      </c>
      <c r="B4854">
        <v>161545</v>
      </c>
    </row>
    <row r="4855" spans="1:2" x14ac:dyDescent="0.25">
      <c r="A4855" t="s">
        <v>7417</v>
      </c>
      <c r="B4855">
        <v>228246</v>
      </c>
    </row>
    <row r="4856" spans="1:2" x14ac:dyDescent="0.25">
      <c r="A4856" t="s">
        <v>7418</v>
      </c>
      <c r="B4856">
        <v>206862</v>
      </c>
    </row>
    <row r="4857" spans="1:2" x14ac:dyDescent="0.25">
      <c r="A4857" t="s">
        <v>7419</v>
      </c>
      <c r="B4857">
        <v>183026</v>
      </c>
    </row>
    <row r="4858" spans="1:2" x14ac:dyDescent="0.25">
      <c r="A4858" t="s">
        <v>7420</v>
      </c>
      <c r="B4858">
        <v>365198</v>
      </c>
    </row>
    <row r="4859" spans="1:2" x14ac:dyDescent="0.25">
      <c r="A4859" t="s">
        <v>7421</v>
      </c>
      <c r="B4859">
        <v>210146</v>
      </c>
    </row>
    <row r="4860" spans="1:2" x14ac:dyDescent="0.25">
      <c r="A4860" t="s">
        <v>7422</v>
      </c>
      <c r="B4860">
        <v>487162</v>
      </c>
    </row>
    <row r="4861" spans="1:2" x14ac:dyDescent="0.25">
      <c r="A4861" t="s">
        <v>7423</v>
      </c>
      <c r="B4861">
        <v>207786</v>
      </c>
    </row>
    <row r="4862" spans="1:2" x14ac:dyDescent="0.25">
      <c r="A4862" t="s">
        <v>7424</v>
      </c>
      <c r="B4862">
        <v>205966</v>
      </c>
    </row>
    <row r="4863" spans="1:2" x14ac:dyDescent="0.25">
      <c r="A4863" t="s">
        <v>7425</v>
      </c>
      <c r="B4863">
        <v>490063</v>
      </c>
    </row>
    <row r="4864" spans="1:2" x14ac:dyDescent="0.25">
      <c r="A4864" t="s">
        <v>7426</v>
      </c>
      <c r="B4864">
        <v>366553</v>
      </c>
    </row>
    <row r="4865" spans="1:2" x14ac:dyDescent="0.25">
      <c r="A4865" t="s">
        <v>7426</v>
      </c>
      <c r="B4865">
        <v>446552</v>
      </c>
    </row>
    <row r="4866" spans="1:2" x14ac:dyDescent="0.25">
      <c r="A4866" t="s">
        <v>7427</v>
      </c>
      <c r="B4866">
        <v>481322</v>
      </c>
    </row>
    <row r="4867" spans="1:2" x14ac:dyDescent="0.25">
      <c r="A4867" t="s">
        <v>7428</v>
      </c>
      <c r="B4867">
        <v>251260</v>
      </c>
    </row>
    <row r="4868" spans="1:2" x14ac:dyDescent="0.25">
      <c r="A4868" t="s">
        <v>7429</v>
      </c>
      <c r="B4868">
        <v>160621</v>
      </c>
    </row>
    <row r="4869" spans="1:2" x14ac:dyDescent="0.25">
      <c r="A4869" t="s">
        <v>7430</v>
      </c>
      <c r="B4869">
        <v>160630</v>
      </c>
    </row>
    <row r="4870" spans="1:2" x14ac:dyDescent="0.25">
      <c r="A4870" t="s">
        <v>7431</v>
      </c>
      <c r="B4870">
        <v>160649</v>
      </c>
    </row>
    <row r="4871" spans="1:2" x14ac:dyDescent="0.25">
      <c r="A4871" t="s">
        <v>7432</v>
      </c>
      <c r="B4871">
        <v>440916</v>
      </c>
    </row>
    <row r="4872" spans="1:2" x14ac:dyDescent="0.25">
      <c r="A4872" t="s">
        <v>7433</v>
      </c>
      <c r="B4872">
        <v>160533</v>
      </c>
    </row>
    <row r="4873" spans="1:2" x14ac:dyDescent="0.25">
      <c r="A4873" t="s">
        <v>7434</v>
      </c>
      <c r="B4873">
        <v>230603</v>
      </c>
    </row>
    <row r="4874" spans="1:2" x14ac:dyDescent="0.25">
      <c r="A4874" t="s">
        <v>7435</v>
      </c>
      <c r="B4874">
        <v>233611</v>
      </c>
    </row>
    <row r="4875" spans="1:2" x14ac:dyDescent="0.25">
      <c r="A4875" t="s">
        <v>7436</v>
      </c>
      <c r="B4875">
        <v>217776</v>
      </c>
    </row>
    <row r="4876" spans="1:2" x14ac:dyDescent="0.25">
      <c r="A4876" t="s">
        <v>7437</v>
      </c>
      <c r="B4876">
        <v>237817</v>
      </c>
    </row>
    <row r="4877" spans="1:2" x14ac:dyDescent="0.25">
      <c r="A4877" t="s">
        <v>7438</v>
      </c>
      <c r="B4877">
        <v>193122</v>
      </c>
    </row>
    <row r="4878" spans="1:2" x14ac:dyDescent="0.25">
      <c r="A4878" t="s">
        <v>7439</v>
      </c>
      <c r="B4878">
        <v>457624</v>
      </c>
    </row>
    <row r="4879" spans="1:2" x14ac:dyDescent="0.25">
      <c r="A4879" t="s">
        <v>7440</v>
      </c>
      <c r="B4879">
        <v>233082</v>
      </c>
    </row>
    <row r="4880" spans="1:2" x14ac:dyDescent="0.25">
      <c r="A4880" t="s">
        <v>7441</v>
      </c>
      <c r="B4880">
        <v>233639</v>
      </c>
    </row>
    <row r="4881" spans="1:2" x14ac:dyDescent="0.25">
      <c r="A4881" t="s">
        <v>7442</v>
      </c>
      <c r="B4881">
        <v>436261</v>
      </c>
    </row>
    <row r="4882" spans="1:2" x14ac:dyDescent="0.25">
      <c r="A4882" t="s">
        <v>7443</v>
      </c>
      <c r="B4882">
        <v>366605</v>
      </c>
    </row>
    <row r="4883" spans="1:2" x14ac:dyDescent="0.25">
      <c r="A4883" t="s">
        <v>7444</v>
      </c>
      <c r="B4883">
        <v>179326</v>
      </c>
    </row>
    <row r="4884" spans="1:2" x14ac:dyDescent="0.25">
      <c r="A4884" t="s">
        <v>7445</v>
      </c>
      <c r="B4884">
        <v>420246</v>
      </c>
    </row>
    <row r="4885" spans="1:2" x14ac:dyDescent="0.25">
      <c r="A4885" t="s">
        <v>7446</v>
      </c>
      <c r="B4885">
        <v>382911</v>
      </c>
    </row>
    <row r="4886" spans="1:2" x14ac:dyDescent="0.25">
      <c r="A4886" t="s">
        <v>7447</v>
      </c>
      <c r="B4886">
        <v>442879</v>
      </c>
    </row>
    <row r="4887" spans="1:2" x14ac:dyDescent="0.25">
      <c r="A4887" t="s">
        <v>7448</v>
      </c>
      <c r="B4887">
        <v>175078</v>
      </c>
    </row>
    <row r="4888" spans="1:2" x14ac:dyDescent="0.25">
      <c r="A4888" t="s">
        <v>7449</v>
      </c>
      <c r="B4888">
        <v>176354</v>
      </c>
    </row>
    <row r="4889" spans="1:2" x14ac:dyDescent="0.25">
      <c r="A4889" t="s">
        <v>7450</v>
      </c>
      <c r="B4889">
        <v>228282</v>
      </c>
    </row>
    <row r="4890" spans="1:2" x14ac:dyDescent="0.25">
      <c r="A4890" t="s">
        <v>7451</v>
      </c>
      <c r="B4890">
        <v>449816</v>
      </c>
    </row>
    <row r="4891" spans="1:2" x14ac:dyDescent="0.25">
      <c r="A4891" t="s">
        <v>7452</v>
      </c>
      <c r="B4891">
        <v>368364</v>
      </c>
    </row>
    <row r="4892" spans="1:2" x14ac:dyDescent="0.25">
      <c r="A4892" t="s">
        <v>7453</v>
      </c>
      <c r="B4892">
        <v>221485</v>
      </c>
    </row>
    <row r="4893" spans="1:2" x14ac:dyDescent="0.25">
      <c r="A4893" t="s">
        <v>7454</v>
      </c>
      <c r="B4893">
        <v>228316</v>
      </c>
    </row>
    <row r="4894" spans="1:2" x14ac:dyDescent="0.25">
      <c r="A4894" t="s">
        <v>7455</v>
      </c>
      <c r="B4894">
        <v>451556</v>
      </c>
    </row>
    <row r="4895" spans="1:2" x14ac:dyDescent="0.25">
      <c r="A4895" t="s">
        <v>7456</v>
      </c>
      <c r="B4895">
        <v>402776</v>
      </c>
    </row>
    <row r="4896" spans="1:2" x14ac:dyDescent="0.25">
      <c r="A4896" t="s">
        <v>7457</v>
      </c>
      <c r="B4896">
        <v>104188</v>
      </c>
    </row>
    <row r="4897" spans="1:2" x14ac:dyDescent="0.25">
      <c r="A4897" t="s">
        <v>7458</v>
      </c>
      <c r="B4897">
        <v>233648</v>
      </c>
    </row>
    <row r="4898" spans="1:2" x14ac:dyDescent="0.25">
      <c r="A4898" t="s">
        <v>7459</v>
      </c>
      <c r="B4898">
        <v>239910</v>
      </c>
    </row>
    <row r="4899" spans="1:2" x14ac:dyDescent="0.25">
      <c r="A4899" t="s">
        <v>7460</v>
      </c>
      <c r="B4899">
        <v>228468</v>
      </c>
    </row>
    <row r="4900" spans="1:2" x14ac:dyDescent="0.25">
      <c r="A4900" t="s">
        <v>7461</v>
      </c>
      <c r="B4900">
        <v>228325</v>
      </c>
    </row>
    <row r="4901" spans="1:2" x14ac:dyDescent="0.25">
      <c r="A4901" t="s">
        <v>7462</v>
      </c>
      <c r="B4901">
        <v>494603</v>
      </c>
    </row>
    <row r="4902" spans="1:2" x14ac:dyDescent="0.25">
      <c r="A4902" t="s">
        <v>7463</v>
      </c>
      <c r="B4902">
        <v>228486</v>
      </c>
    </row>
    <row r="4903" spans="1:2" x14ac:dyDescent="0.25">
      <c r="A4903" t="s">
        <v>7464</v>
      </c>
      <c r="B4903">
        <v>207856</v>
      </c>
    </row>
    <row r="4904" spans="1:2" x14ac:dyDescent="0.25">
      <c r="A4904" t="s">
        <v>7465</v>
      </c>
      <c r="B4904">
        <v>123800</v>
      </c>
    </row>
    <row r="4905" spans="1:2" x14ac:dyDescent="0.25">
      <c r="A4905" t="s">
        <v>7465</v>
      </c>
      <c r="B4905">
        <v>155900</v>
      </c>
    </row>
    <row r="4906" spans="1:2" x14ac:dyDescent="0.25">
      <c r="A4906" t="s">
        <v>7465</v>
      </c>
      <c r="B4906">
        <v>188207</v>
      </c>
    </row>
    <row r="4907" spans="1:2" x14ac:dyDescent="0.25">
      <c r="A4907" t="s">
        <v>7466</v>
      </c>
      <c r="B4907">
        <v>154396</v>
      </c>
    </row>
    <row r="4908" spans="1:2" x14ac:dyDescent="0.25">
      <c r="A4908" t="s">
        <v>7466</v>
      </c>
      <c r="B4908">
        <v>199731</v>
      </c>
    </row>
    <row r="4909" spans="1:2" x14ac:dyDescent="0.25">
      <c r="A4909" t="s">
        <v>7467</v>
      </c>
      <c r="B4909">
        <v>143215</v>
      </c>
    </row>
    <row r="4910" spans="1:2" x14ac:dyDescent="0.25">
      <c r="A4910" t="s">
        <v>7468</v>
      </c>
      <c r="B4910">
        <v>188216</v>
      </c>
    </row>
    <row r="4911" spans="1:2" x14ac:dyDescent="0.25">
      <c r="A4911" t="s">
        <v>7469</v>
      </c>
      <c r="B4911">
        <v>123970</v>
      </c>
    </row>
    <row r="4912" spans="1:2" x14ac:dyDescent="0.25">
      <c r="A4912" t="s">
        <v>7470</v>
      </c>
      <c r="B4912">
        <v>172307</v>
      </c>
    </row>
    <row r="4913" spans="1:2" x14ac:dyDescent="0.25">
      <c r="A4913" t="s">
        <v>7471</v>
      </c>
      <c r="B4913">
        <v>207865</v>
      </c>
    </row>
    <row r="4914" spans="1:2" x14ac:dyDescent="0.25">
      <c r="A4914" t="s">
        <v>7472</v>
      </c>
      <c r="B4914">
        <v>210155</v>
      </c>
    </row>
    <row r="4915" spans="1:2" x14ac:dyDescent="0.25">
      <c r="A4915" t="s">
        <v>7473</v>
      </c>
      <c r="B4915">
        <v>228343</v>
      </c>
    </row>
    <row r="4916" spans="1:2" x14ac:dyDescent="0.25">
      <c r="A4916" t="s">
        <v>7474</v>
      </c>
      <c r="B4916">
        <v>232724</v>
      </c>
    </row>
    <row r="4917" spans="1:2" x14ac:dyDescent="0.25">
      <c r="A4917" t="s">
        <v>7475</v>
      </c>
      <c r="B4917">
        <v>160579</v>
      </c>
    </row>
    <row r="4918" spans="1:2" x14ac:dyDescent="0.25">
      <c r="A4918" t="s">
        <v>7476</v>
      </c>
      <c r="B4918">
        <v>445638</v>
      </c>
    </row>
    <row r="4919" spans="1:2" x14ac:dyDescent="0.25">
      <c r="A4919" t="s">
        <v>7477</v>
      </c>
      <c r="B4919">
        <v>445656</v>
      </c>
    </row>
    <row r="4920" spans="1:2" x14ac:dyDescent="0.25">
      <c r="A4920" t="s">
        <v>7478</v>
      </c>
      <c r="B4920">
        <v>445647</v>
      </c>
    </row>
    <row r="4921" spans="1:2" x14ac:dyDescent="0.25">
      <c r="A4921" t="s">
        <v>7479</v>
      </c>
      <c r="B4921">
        <v>161527</v>
      </c>
    </row>
    <row r="4922" spans="1:2" x14ac:dyDescent="0.25">
      <c r="A4922" t="s">
        <v>7480</v>
      </c>
      <c r="B4922">
        <v>157757</v>
      </c>
    </row>
    <row r="4923" spans="1:2" x14ac:dyDescent="0.25">
      <c r="A4923" t="s">
        <v>7481</v>
      </c>
      <c r="B4923">
        <v>413680</v>
      </c>
    </row>
    <row r="4924" spans="1:2" x14ac:dyDescent="0.25">
      <c r="A4924" t="s">
        <v>7482</v>
      </c>
      <c r="B4924">
        <v>126605</v>
      </c>
    </row>
    <row r="4925" spans="1:2" x14ac:dyDescent="0.25">
      <c r="A4925" t="s">
        <v>7482</v>
      </c>
      <c r="B4925">
        <v>207254</v>
      </c>
    </row>
    <row r="4926" spans="1:2" x14ac:dyDescent="0.25">
      <c r="A4926" t="s">
        <v>7482</v>
      </c>
      <c r="B4926">
        <v>489371</v>
      </c>
    </row>
    <row r="4927" spans="1:2" x14ac:dyDescent="0.25">
      <c r="A4927" t="s">
        <v>7483</v>
      </c>
      <c r="B4927">
        <v>218830</v>
      </c>
    </row>
    <row r="4928" spans="1:2" x14ac:dyDescent="0.25">
      <c r="A4928" t="s">
        <v>7484</v>
      </c>
      <c r="B4928">
        <v>218821</v>
      </c>
    </row>
    <row r="4929" spans="1:2" x14ac:dyDescent="0.25">
      <c r="A4929" t="s">
        <v>7485</v>
      </c>
      <c r="B4929">
        <v>172325</v>
      </c>
    </row>
    <row r="4930" spans="1:2" x14ac:dyDescent="0.25">
      <c r="A4930" t="s">
        <v>7486</v>
      </c>
      <c r="B4930">
        <v>141060</v>
      </c>
    </row>
    <row r="4931" spans="1:2" x14ac:dyDescent="0.25">
      <c r="A4931" t="s">
        <v>7487</v>
      </c>
      <c r="B4931">
        <v>148982</v>
      </c>
    </row>
    <row r="4932" spans="1:2" x14ac:dyDescent="0.25">
      <c r="A4932" t="s">
        <v>7488</v>
      </c>
      <c r="B4932">
        <v>236692</v>
      </c>
    </row>
    <row r="4933" spans="1:2" x14ac:dyDescent="0.25">
      <c r="A4933" t="s">
        <v>7489</v>
      </c>
      <c r="B4933">
        <v>236708</v>
      </c>
    </row>
    <row r="4934" spans="1:2" x14ac:dyDescent="0.25">
      <c r="A4934" t="s">
        <v>7490</v>
      </c>
      <c r="B4934">
        <v>148991</v>
      </c>
    </row>
    <row r="4935" spans="1:2" x14ac:dyDescent="0.25">
      <c r="A4935" t="s">
        <v>7491</v>
      </c>
      <c r="B4935">
        <v>172334</v>
      </c>
    </row>
    <row r="4936" spans="1:2" x14ac:dyDescent="0.25">
      <c r="A4936" t="s">
        <v>7492</v>
      </c>
      <c r="B4936">
        <v>102234</v>
      </c>
    </row>
    <row r="4937" spans="1:2" x14ac:dyDescent="0.25">
      <c r="A4937" t="s">
        <v>7493</v>
      </c>
      <c r="B4937">
        <v>167899</v>
      </c>
    </row>
    <row r="4938" spans="1:2" x14ac:dyDescent="0.25">
      <c r="A4938" t="s">
        <v>7494</v>
      </c>
      <c r="B4938">
        <v>475273</v>
      </c>
    </row>
    <row r="4939" spans="1:2" x14ac:dyDescent="0.25">
      <c r="A4939" t="s">
        <v>7495</v>
      </c>
      <c r="B4939">
        <v>167905</v>
      </c>
    </row>
    <row r="4940" spans="1:2" x14ac:dyDescent="0.25">
      <c r="A4940" t="s">
        <v>7496</v>
      </c>
      <c r="B4940">
        <v>496654</v>
      </c>
    </row>
    <row r="4941" spans="1:2" x14ac:dyDescent="0.25">
      <c r="A4941" t="s">
        <v>7497</v>
      </c>
      <c r="B4941">
        <v>195155</v>
      </c>
    </row>
    <row r="4942" spans="1:2" x14ac:dyDescent="0.25">
      <c r="A4942" t="s">
        <v>7498</v>
      </c>
      <c r="B4942">
        <v>195164</v>
      </c>
    </row>
    <row r="4943" spans="1:2" x14ac:dyDescent="0.25">
      <c r="A4943" t="s">
        <v>7499</v>
      </c>
      <c r="B4943">
        <v>175005</v>
      </c>
    </row>
    <row r="4944" spans="1:2" x14ac:dyDescent="0.25">
      <c r="A4944" t="s">
        <v>7500</v>
      </c>
      <c r="B4944">
        <v>262031</v>
      </c>
    </row>
    <row r="4945" spans="1:2" x14ac:dyDescent="0.25">
      <c r="A4945" t="s">
        <v>7501</v>
      </c>
      <c r="B4945">
        <v>172291</v>
      </c>
    </row>
    <row r="4946" spans="1:2" x14ac:dyDescent="0.25">
      <c r="A4946" t="s">
        <v>7502</v>
      </c>
      <c r="B4946">
        <v>174756</v>
      </c>
    </row>
    <row r="4947" spans="1:2" x14ac:dyDescent="0.25">
      <c r="A4947" t="s">
        <v>7503</v>
      </c>
      <c r="B4947">
        <v>186405</v>
      </c>
    </row>
    <row r="4948" spans="1:2" x14ac:dyDescent="0.25">
      <c r="A4948" t="s">
        <v>7504</v>
      </c>
      <c r="B4948">
        <v>183248</v>
      </c>
    </row>
    <row r="4949" spans="1:2" x14ac:dyDescent="0.25">
      <c r="A4949" t="s">
        <v>7505</v>
      </c>
      <c r="B4949">
        <v>195216</v>
      </c>
    </row>
    <row r="4950" spans="1:2" x14ac:dyDescent="0.25">
      <c r="A4950" t="s">
        <v>7506</v>
      </c>
      <c r="B4950">
        <v>442426</v>
      </c>
    </row>
    <row r="4951" spans="1:2" x14ac:dyDescent="0.25">
      <c r="A4951" t="s">
        <v>7507</v>
      </c>
      <c r="B4951">
        <v>179511</v>
      </c>
    </row>
    <row r="4952" spans="1:2" x14ac:dyDescent="0.25">
      <c r="A4952" t="s">
        <v>7508</v>
      </c>
      <c r="B4952">
        <v>154262</v>
      </c>
    </row>
    <row r="4953" spans="1:2" x14ac:dyDescent="0.25">
      <c r="A4953" t="s">
        <v>7509</v>
      </c>
      <c r="B4953">
        <v>216162</v>
      </c>
    </row>
    <row r="4954" spans="1:2" x14ac:dyDescent="0.25">
      <c r="A4954" t="s">
        <v>7510</v>
      </c>
      <c r="B4954">
        <v>174844</v>
      </c>
    </row>
    <row r="4955" spans="1:2" x14ac:dyDescent="0.25">
      <c r="A4955" t="s">
        <v>7511</v>
      </c>
      <c r="B4955">
        <v>189811</v>
      </c>
    </row>
    <row r="4956" spans="1:2" x14ac:dyDescent="0.25">
      <c r="A4956" t="s">
        <v>7512</v>
      </c>
      <c r="B4956">
        <v>195784</v>
      </c>
    </row>
    <row r="4957" spans="1:2" x14ac:dyDescent="0.25">
      <c r="A4957" t="s">
        <v>7513</v>
      </c>
      <c r="B4957">
        <v>137078</v>
      </c>
    </row>
    <row r="4958" spans="1:2" x14ac:dyDescent="0.25">
      <c r="A4958" t="s">
        <v>7514</v>
      </c>
      <c r="B4958">
        <v>227854</v>
      </c>
    </row>
    <row r="4959" spans="1:2" x14ac:dyDescent="0.25">
      <c r="A4959" t="s">
        <v>7515</v>
      </c>
      <c r="B4959">
        <v>199698</v>
      </c>
    </row>
    <row r="4960" spans="1:2" x14ac:dyDescent="0.25">
      <c r="A4960" t="s">
        <v>7516</v>
      </c>
      <c r="B4960">
        <v>148876</v>
      </c>
    </row>
    <row r="4961" spans="1:2" x14ac:dyDescent="0.25">
      <c r="A4961" t="s">
        <v>7517</v>
      </c>
      <c r="B4961">
        <v>195173</v>
      </c>
    </row>
    <row r="4962" spans="1:2" x14ac:dyDescent="0.25">
      <c r="A4962" t="s">
        <v>7518</v>
      </c>
      <c r="B4962">
        <v>137272</v>
      </c>
    </row>
    <row r="4963" spans="1:2" x14ac:dyDescent="0.25">
      <c r="A4963" t="s">
        <v>7519</v>
      </c>
      <c r="B4963">
        <v>163976</v>
      </c>
    </row>
    <row r="4964" spans="1:2" x14ac:dyDescent="0.25">
      <c r="A4964" t="s">
        <v>7519</v>
      </c>
      <c r="B4964">
        <v>245652</v>
      </c>
    </row>
    <row r="4965" spans="1:2" x14ac:dyDescent="0.25">
      <c r="A4965" t="s">
        <v>7520</v>
      </c>
      <c r="B4965">
        <v>148593</v>
      </c>
    </row>
    <row r="4966" spans="1:2" x14ac:dyDescent="0.25">
      <c r="A4966" t="s">
        <v>7521</v>
      </c>
      <c r="B4966">
        <v>195809</v>
      </c>
    </row>
    <row r="4967" spans="1:2" x14ac:dyDescent="0.25">
      <c r="A4967" t="s">
        <v>7522</v>
      </c>
      <c r="B4967">
        <v>195191</v>
      </c>
    </row>
    <row r="4968" spans="1:2" x14ac:dyDescent="0.25">
      <c r="A4968" t="s">
        <v>7523</v>
      </c>
      <c r="B4968">
        <v>195544</v>
      </c>
    </row>
    <row r="4969" spans="1:2" x14ac:dyDescent="0.25">
      <c r="A4969" t="s">
        <v>7524</v>
      </c>
      <c r="B4969">
        <v>495226</v>
      </c>
    </row>
    <row r="4970" spans="1:2" x14ac:dyDescent="0.25">
      <c r="A4970" t="s">
        <v>7525</v>
      </c>
      <c r="B4970">
        <v>163912</v>
      </c>
    </row>
    <row r="4971" spans="1:2" x14ac:dyDescent="0.25">
      <c r="A4971" t="s">
        <v>7526</v>
      </c>
      <c r="B4971">
        <v>228149</v>
      </c>
    </row>
    <row r="4972" spans="1:2" x14ac:dyDescent="0.25">
      <c r="A4972" t="s">
        <v>7527</v>
      </c>
      <c r="B4972">
        <v>192961</v>
      </c>
    </row>
    <row r="4973" spans="1:2" x14ac:dyDescent="0.25">
      <c r="A4973" t="s">
        <v>7528</v>
      </c>
      <c r="B4973">
        <v>195243</v>
      </c>
    </row>
    <row r="4974" spans="1:2" x14ac:dyDescent="0.25">
      <c r="A4974" t="s">
        <v>7529</v>
      </c>
      <c r="B4974">
        <v>137476</v>
      </c>
    </row>
    <row r="4975" spans="1:2" x14ac:dyDescent="0.25">
      <c r="A4975" t="s">
        <v>7530</v>
      </c>
      <c r="B4975">
        <v>491792</v>
      </c>
    </row>
    <row r="4976" spans="1:2" x14ac:dyDescent="0.25">
      <c r="A4976" t="s">
        <v>7531</v>
      </c>
      <c r="B4976">
        <v>407151</v>
      </c>
    </row>
    <row r="4977" spans="1:2" x14ac:dyDescent="0.25">
      <c r="A4977" t="s">
        <v>7532</v>
      </c>
      <c r="B4977">
        <v>446561</v>
      </c>
    </row>
    <row r="4978" spans="1:2" x14ac:dyDescent="0.25">
      <c r="A4978" t="s">
        <v>7533</v>
      </c>
      <c r="B4978">
        <v>483814</v>
      </c>
    </row>
    <row r="4979" spans="1:2" x14ac:dyDescent="0.25">
      <c r="A4979" t="s">
        <v>7534</v>
      </c>
      <c r="B4979">
        <v>243744</v>
      </c>
    </row>
    <row r="4980" spans="1:2" x14ac:dyDescent="0.25">
      <c r="A4980" t="s">
        <v>7535</v>
      </c>
      <c r="B4980">
        <v>199740</v>
      </c>
    </row>
    <row r="4981" spans="1:2" x14ac:dyDescent="0.25">
      <c r="A4981" t="s">
        <v>7536</v>
      </c>
      <c r="B4981">
        <v>205841</v>
      </c>
    </row>
    <row r="4982" spans="1:2" x14ac:dyDescent="0.25">
      <c r="A4982" t="s">
        <v>7537</v>
      </c>
      <c r="B4982">
        <v>123916</v>
      </c>
    </row>
    <row r="4983" spans="1:2" x14ac:dyDescent="0.25">
      <c r="A4983" t="s">
        <v>7538</v>
      </c>
      <c r="B4983">
        <v>462053</v>
      </c>
    </row>
    <row r="4984" spans="1:2" x14ac:dyDescent="0.25">
      <c r="A4984" t="s">
        <v>7539</v>
      </c>
      <c r="B4984">
        <v>123925</v>
      </c>
    </row>
    <row r="4985" spans="1:2" x14ac:dyDescent="0.25">
      <c r="A4985" t="s">
        <v>7540</v>
      </c>
      <c r="B4985">
        <v>239877</v>
      </c>
    </row>
    <row r="4986" spans="1:2" x14ac:dyDescent="0.25">
      <c r="A4986" t="s">
        <v>7541</v>
      </c>
      <c r="B4986">
        <v>135391</v>
      </c>
    </row>
    <row r="4987" spans="1:2" x14ac:dyDescent="0.25">
      <c r="A4987" t="s">
        <v>7542</v>
      </c>
      <c r="B4987">
        <v>179539</v>
      </c>
    </row>
    <row r="4988" spans="1:2" x14ac:dyDescent="0.25">
      <c r="A4988" t="s">
        <v>7543</v>
      </c>
      <c r="B4988">
        <v>177977</v>
      </c>
    </row>
    <row r="4989" spans="1:2" x14ac:dyDescent="0.25">
      <c r="A4989" t="s">
        <v>7544</v>
      </c>
      <c r="B4989">
        <v>196176</v>
      </c>
    </row>
    <row r="4990" spans="1:2" x14ac:dyDescent="0.25">
      <c r="A4990" t="s">
        <v>7545</v>
      </c>
      <c r="B4990">
        <v>233666</v>
      </c>
    </row>
    <row r="4991" spans="1:2" x14ac:dyDescent="0.25">
      <c r="A4991" t="s">
        <v>7546</v>
      </c>
      <c r="B4991">
        <v>448600</v>
      </c>
    </row>
    <row r="4992" spans="1:2" x14ac:dyDescent="0.25">
      <c r="A4992" t="s">
        <v>7547</v>
      </c>
      <c r="B4992">
        <v>205887</v>
      </c>
    </row>
    <row r="4993" spans="1:2" x14ac:dyDescent="0.25">
      <c r="A4993" t="s">
        <v>7548</v>
      </c>
      <c r="B4993">
        <v>494852</v>
      </c>
    </row>
    <row r="4994" spans="1:2" x14ac:dyDescent="0.25">
      <c r="A4994" t="s">
        <v>7549</v>
      </c>
      <c r="B4994">
        <v>444529</v>
      </c>
    </row>
    <row r="4995" spans="1:2" x14ac:dyDescent="0.25">
      <c r="A4995" t="s">
        <v>7550</v>
      </c>
      <c r="B4995">
        <v>228431</v>
      </c>
    </row>
    <row r="4996" spans="1:2" x14ac:dyDescent="0.25">
      <c r="A4996" t="s">
        <v>7551</v>
      </c>
      <c r="B4996">
        <v>179548</v>
      </c>
    </row>
    <row r="4997" spans="1:2" x14ac:dyDescent="0.25">
      <c r="A4997" t="s">
        <v>7552</v>
      </c>
      <c r="B4997">
        <v>155937</v>
      </c>
    </row>
    <row r="4998" spans="1:2" x14ac:dyDescent="0.25">
      <c r="A4998" t="s">
        <v>7552</v>
      </c>
      <c r="B4998">
        <v>231095</v>
      </c>
    </row>
    <row r="4999" spans="1:2" x14ac:dyDescent="0.25">
      <c r="A4999" t="s">
        <v>7553</v>
      </c>
      <c r="B4999">
        <v>137546</v>
      </c>
    </row>
    <row r="5000" spans="1:2" x14ac:dyDescent="0.25">
      <c r="A5000" t="s">
        <v>7554</v>
      </c>
      <c r="B5000">
        <v>146807</v>
      </c>
    </row>
    <row r="5001" spans="1:2" x14ac:dyDescent="0.25">
      <c r="A5001" t="s">
        <v>7555</v>
      </c>
      <c r="B5001">
        <v>186867</v>
      </c>
    </row>
    <row r="5002" spans="1:2" x14ac:dyDescent="0.25">
      <c r="A5002" t="s">
        <v>7556</v>
      </c>
      <c r="B5002">
        <v>230621</v>
      </c>
    </row>
    <row r="5003" spans="1:2" x14ac:dyDescent="0.25">
      <c r="A5003" t="s">
        <v>7556</v>
      </c>
      <c r="B5003">
        <v>438151</v>
      </c>
    </row>
    <row r="5004" spans="1:2" x14ac:dyDescent="0.25">
      <c r="A5004" t="s">
        <v>7556</v>
      </c>
      <c r="B5004">
        <v>460899</v>
      </c>
    </row>
    <row r="5005" spans="1:2" x14ac:dyDescent="0.25">
      <c r="A5005" t="s">
        <v>7557</v>
      </c>
      <c r="B5005">
        <v>164173</v>
      </c>
    </row>
    <row r="5006" spans="1:2" x14ac:dyDescent="0.25">
      <c r="A5006" t="s">
        <v>7558</v>
      </c>
      <c r="B5006">
        <v>160597</v>
      </c>
    </row>
    <row r="5007" spans="1:2" x14ac:dyDescent="0.25">
      <c r="A5007" t="s">
        <v>7559</v>
      </c>
      <c r="B5007">
        <v>178767</v>
      </c>
    </row>
    <row r="5008" spans="1:2" x14ac:dyDescent="0.25">
      <c r="A5008" t="s">
        <v>7560</v>
      </c>
      <c r="B5008">
        <v>219453</v>
      </c>
    </row>
    <row r="5009" spans="1:2" x14ac:dyDescent="0.25">
      <c r="A5009" t="s">
        <v>7561</v>
      </c>
      <c r="B5009">
        <v>102270</v>
      </c>
    </row>
    <row r="5010" spans="1:2" x14ac:dyDescent="0.25">
      <c r="A5010" t="s">
        <v>7562</v>
      </c>
      <c r="B5010">
        <v>186876</v>
      </c>
    </row>
    <row r="5011" spans="1:2" x14ac:dyDescent="0.25">
      <c r="A5011" t="s">
        <v>7563</v>
      </c>
      <c r="B5011">
        <v>448619</v>
      </c>
    </row>
    <row r="5012" spans="1:2" x14ac:dyDescent="0.25">
      <c r="A5012" t="s">
        <v>7564</v>
      </c>
      <c r="B5012">
        <v>413778</v>
      </c>
    </row>
    <row r="5013" spans="1:2" x14ac:dyDescent="0.25">
      <c r="A5013" t="s">
        <v>7565</v>
      </c>
      <c r="B5013">
        <v>130509</v>
      </c>
    </row>
    <row r="5014" spans="1:2" x14ac:dyDescent="0.25">
      <c r="A5014" t="s">
        <v>7566</v>
      </c>
      <c r="B5014">
        <v>366340</v>
      </c>
    </row>
    <row r="5015" spans="1:2" x14ac:dyDescent="0.25">
      <c r="A5015" t="s">
        <v>7567</v>
      </c>
      <c r="B5015">
        <v>167996</v>
      </c>
    </row>
    <row r="5016" spans="1:2" x14ac:dyDescent="0.25">
      <c r="A5016" t="s">
        <v>7568</v>
      </c>
      <c r="B5016">
        <v>196097</v>
      </c>
    </row>
    <row r="5017" spans="1:2" x14ac:dyDescent="0.25">
      <c r="A5017" t="s">
        <v>7569</v>
      </c>
      <c r="B5017">
        <v>434496</v>
      </c>
    </row>
    <row r="5018" spans="1:2" x14ac:dyDescent="0.25">
      <c r="A5018" t="s">
        <v>7570</v>
      </c>
      <c r="B5018">
        <v>491066</v>
      </c>
    </row>
    <row r="5019" spans="1:2" x14ac:dyDescent="0.25">
      <c r="A5019" t="s">
        <v>7571</v>
      </c>
      <c r="B5019">
        <v>417275</v>
      </c>
    </row>
    <row r="5020" spans="1:2" x14ac:dyDescent="0.25">
      <c r="A5020" t="s">
        <v>7572</v>
      </c>
      <c r="B5020">
        <v>438498</v>
      </c>
    </row>
    <row r="5021" spans="1:2" x14ac:dyDescent="0.25">
      <c r="A5021" t="s">
        <v>7573</v>
      </c>
      <c r="B5021">
        <v>450377</v>
      </c>
    </row>
    <row r="5022" spans="1:2" x14ac:dyDescent="0.25">
      <c r="A5022" t="s">
        <v>7574</v>
      </c>
      <c r="B5022">
        <v>458885</v>
      </c>
    </row>
    <row r="5023" spans="1:2" x14ac:dyDescent="0.25">
      <c r="A5023" t="s">
        <v>7575</v>
      </c>
      <c r="B5023">
        <v>450298</v>
      </c>
    </row>
    <row r="5024" spans="1:2" x14ac:dyDescent="0.25">
      <c r="A5024" t="s">
        <v>7576</v>
      </c>
      <c r="B5024">
        <v>131803</v>
      </c>
    </row>
    <row r="5025" spans="1:2" x14ac:dyDescent="0.25">
      <c r="A5025" t="s">
        <v>7577</v>
      </c>
      <c r="B5025">
        <v>449038</v>
      </c>
    </row>
    <row r="5026" spans="1:2" x14ac:dyDescent="0.25">
      <c r="A5026" t="s">
        <v>7578</v>
      </c>
      <c r="B5026">
        <v>458919</v>
      </c>
    </row>
    <row r="5027" spans="1:2" x14ac:dyDescent="0.25">
      <c r="A5027" t="s">
        <v>7579</v>
      </c>
      <c r="B5027">
        <v>459994</v>
      </c>
    </row>
    <row r="5028" spans="1:2" x14ac:dyDescent="0.25">
      <c r="A5028" t="s">
        <v>7580</v>
      </c>
      <c r="B5028">
        <v>430184</v>
      </c>
    </row>
    <row r="5029" spans="1:2" x14ac:dyDescent="0.25">
      <c r="A5029" t="s">
        <v>7581</v>
      </c>
      <c r="B5029">
        <v>458955</v>
      </c>
    </row>
    <row r="5030" spans="1:2" x14ac:dyDescent="0.25">
      <c r="A5030" t="s">
        <v>7582</v>
      </c>
      <c r="B5030">
        <v>453215</v>
      </c>
    </row>
    <row r="5031" spans="1:2" x14ac:dyDescent="0.25">
      <c r="A5031" t="s">
        <v>7583</v>
      </c>
      <c r="B5031">
        <v>453163</v>
      </c>
    </row>
    <row r="5032" spans="1:2" x14ac:dyDescent="0.25">
      <c r="A5032" t="s">
        <v>7584</v>
      </c>
      <c r="B5032">
        <v>443784</v>
      </c>
    </row>
    <row r="5033" spans="1:2" x14ac:dyDescent="0.25">
      <c r="A5033" t="s">
        <v>7585</v>
      </c>
      <c r="B5033">
        <v>458964</v>
      </c>
    </row>
    <row r="5034" spans="1:2" x14ac:dyDescent="0.25">
      <c r="A5034" t="s">
        <v>7586</v>
      </c>
      <c r="B5034">
        <v>443766</v>
      </c>
    </row>
    <row r="5035" spans="1:2" x14ac:dyDescent="0.25">
      <c r="A5035" t="s">
        <v>7587</v>
      </c>
      <c r="B5035">
        <v>458973</v>
      </c>
    </row>
    <row r="5036" spans="1:2" x14ac:dyDescent="0.25">
      <c r="A5036" t="s">
        <v>7588</v>
      </c>
      <c r="B5036">
        <v>233684</v>
      </c>
    </row>
    <row r="5037" spans="1:2" x14ac:dyDescent="0.25">
      <c r="A5037" t="s">
        <v>7589</v>
      </c>
      <c r="B5037">
        <v>456621</v>
      </c>
    </row>
    <row r="5038" spans="1:2" x14ac:dyDescent="0.25">
      <c r="A5038" t="s">
        <v>7590</v>
      </c>
      <c r="B5038">
        <v>455725</v>
      </c>
    </row>
    <row r="5039" spans="1:2" x14ac:dyDescent="0.25">
      <c r="A5039" t="s">
        <v>7591</v>
      </c>
      <c r="B5039">
        <v>485476</v>
      </c>
    </row>
    <row r="5040" spans="1:2" x14ac:dyDescent="0.25">
      <c r="A5040" t="s">
        <v>7592</v>
      </c>
      <c r="B5040">
        <v>485856</v>
      </c>
    </row>
    <row r="5041" spans="1:2" x14ac:dyDescent="0.25">
      <c r="A5041" t="s">
        <v>7593</v>
      </c>
      <c r="B5041">
        <v>430564</v>
      </c>
    </row>
    <row r="5042" spans="1:2" x14ac:dyDescent="0.25">
      <c r="A5042" t="s">
        <v>7594</v>
      </c>
      <c r="B5042">
        <v>236744</v>
      </c>
    </row>
    <row r="5043" spans="1:2" x14ac:dyDescent="0.25">
      <c r="A5043" t="s">
        <v>7595</v>
      </c>
      <c r="B5043">
        <v>366395</v>
      </c>
    </row>
    <row r="5044" spans="1:2" x14ac:dyDescent="0.25">
      <c r="A5044" t="s">
        <v>7596</v>
      </c>
      <c r="B5044">
        <v>168005</v>
      </c>
    </row>
    <row r="5045" spans="1:2" x14ac:dyDescent="0.25">
      <c r="A5045" t="s">
        <v>7597</v>
      </c>
      <c r="B5045">
        <v>228501</v>
      </c>
    </row>
    <row r="5046" spans="1:2" x14ac:dyDescent="0.25">
      <c r="A5046" t="s">
        <v>7598</v>
      </c>
      <c r="B5046">
        <v>195988</v>
      </c>
    </row>
    <row r="5047" spans="1:2" x14ac:dyDescent="0.25">
      <c r="A5047" t="s">
        <v>7599</v>
      </c>
      <c r="B5047">
        <v>157793</v>
      </c>
    </row>
    <row r="5048" spans="1:2" x14ac:dyDescent="0.25">
      <c r="A5048" t="s">
        <v>7600</v>
      </c>
      <c r="B5048">
        <v>447953</v>
      </c>
    </row>
    <row r="5049" spans="1:2" x14ac:dyDescent="0.25">
      <c r="A5049" t="s">
        <v>7601</v>
      </c>
      <c r="B5049">
        <v>175120</v>
      </c>
    </row>
    <row r="5050" spans="1:2" x14ac:dyDescent="0.25">
      <c r="A5050" t="s">
        <v>7602</v>
      </c>
      <c r="B5050">
        <v>181543</v>
      </c>
    </row>
    <row r="5051" spans="1:2" x14ac:dyDescent="0.25">
      <c r="A5051" t="s">
        <v>7603</v>
      </c>
      <c r="B5051">
        <v>400080</v>
      </c>
    </row>
    <row r="5052" spans="1:2" x14ac:dyDescent="0.25">
      <c r="A5052" t="s">
        <v>7604</v>
      </c>
      <c r="B5052">
        <v>457420</v>
      </c>
    </row>
    <row r="5053" spans="1:2" x14ac:dyDescent="0.25">
      <c r="A5053" t="s">
        <v>7604</v>
      </c>
      <c r="B5053">
        <v>457572</v>
      </c>
    </row>
    <row r="5054" spans="1:2" x14ac:dyDescent="0.25">
      <c r="A5054" t="s">
        <v>7604</v>
      </c>
      <c r="B5054">
        <v>459550</v>
      </c>
    </row>
    <row r="5055" spans="1:2" x14ac:dyDescent="0.25">
      <c r="A5055" t="s">
        <v>7605</v>
      </c>
      <c r="B5055">
        <v>177603</v>
      </c>
    </row>
    <row r="5056" spans="1:2" x14ac:dyDescent="0.25">
      <c r="A5056" t="s">
        <v>7606</v>
      </c>
      <c r="B5056">
        <v>457439</v>
      </c>
    </row>
    <row r="5057" spans="1:2" x14ac:dyDescent="0.25">
      <c r="A5057" t="s">
        <v>7607</v>
      </c>
      <c r="B5057">
        <v>462017</v>
      </c>
    </row>
    <row r="5058" spans="1:2" x14ac:dyDescent="0.25">
      <c r="A5058" t="s">
        <v>7608</v>
      </c>
      <c r="B5058">
        <v>156967</v>
      </c>
    </row>
    <row r="5059" spans="1:2" x14ac:dyDescent="0.25">
      <c r="A5059" t="s">
        <v>7609</v>
      </c>
      <c r="B5059">
        <v>457916</v>
      </c>
    </row>
    <row r="5060" spans="1:2" x14ac:dyDescent="0.25">
      <c r="A5060" t="s">
        <v>7610</v>
      </c>
      <c r="B5060">
        <v>209719</v>
      </c>
    </row>
    <row r="5061" spans="1:2" x14ac:dyDescent="0.25">
      <c r="A5061" t="s">
        <v>7611</v>
      </c>
      <c r="B5061">
        <v>208512</v>
      </c>
    </row>
    <row r="5062" spans="1:2" x14ac:dyDescent="0.25">
      <c r="A5062" t="s">
        <v>7612</v>
      </c>
      <c r="B5062">
        <v>218867</v>
      </c>
    </row>
    <row r="5063" spans="1:2" x14ac:dyDescent="0.25">
      <c r="A5063" t="s">
        <v>7613</v>
      </c>
      <c r="B5063">
        <v>137120</v>
      </c>
    </row>
    <row r="5064" spans="1:2" x14ac:dyDescent="0.25">
      <c r="A5064" t="s">
        <v>7614</v>
      </c>
      <c r="B5064">
        <v>491783</v>
      </c>
    </row>
    <row r="5065" spans="1:2" x14ac:dyDescent="0.25">
      <c r="A5065" t="s">
        <v>7615</v>
      </c>
      <c r="B5065">
        <v>362700</v>
      </c>
    </row>
    <row r="5066" spans="1:2" x14ac:dyDescent="0.25">
      <c r="A5066" t="s">
        <v>7615</v>
      </c>
      <c r="B5066">
        <v>372718</v>
      </c>
    </row>
    <row r="5067" spans="1:2" x14ac:dyDescent="0.25">
      <c r="A5067" t="s">
        <v>7616</v>
      </c>
      <c r="B5067">
        <v>188438</v>
      </c>
    </row>
    <row r="5068" spans="1:2" x14ac:dyDescent="0.25">
      <c r="A5068" t="s">
        <v>7617</v>
      </c>
      <c r="B5068">
        <v>196060</v>
      </c>
    </row>
    <row r="5069" spans="1:2" x14ac:dyDescent="0.25">
      <c r="A5069" t="s">
        <v>7618</v>
      </c>
      <c r="B5069">
        <v>196158</v>
      </c>
    </row>
    <row r="5070" spans="1:2" x14ac:dyDescent="0.25">
      <c r="A5070" t="s">
        <v>7619</v>
      </c>
      <c r="B5070">
        <v>196219</v>
      </c>
    </row>
    <row r="5071" spans="1:2" x14ac:dyDescent="0.25">
      <c r="A5071" t="s">
        <v>7620</v>
      </c>
      <c r="B5071">
        <v>196121</v>
      </c>
    </row>
    <row r="5072" spans="1:2" x14ac:dyDescent="0.25">
      <c r="A5072" t="s">
        <v>7621</v>
      </c>
      <c r="B5072">
        <v>189547</v>
      </c>
    </row>
    <row r="5073" spans="1:2" x14ac:dyDescent="0.25">
      <c r="A5073" t="s">
        <v>7622</v>
      </c>
      <c r="B5073">
        <v>196130</v>
      </c>
    </row>
    <row r="5074" spans="1:2" x14ac:dyDescent="0.25">
      <c r="A5074" t="s">
        <v>7623</v>
      </c>
      <c r="B5074">
        <v>196167</v>
      </c>
    </row>
    <row r="5075" spans="1:2" x14ac:dyDescent="0.25">
      <c r="A5075" t="s">
        <v>7624</v>
      </c>
      <c r="B5075">
        <v>196237</v>
      </c>
    </row>
    <row r="5076" spans="1:2" x14ac:dyDescent="0.25">
      <c r="A5076" t="s">
        <v>7625</v>
      </c>
      <c r="B5076">
        <v>196194</v>
      </c>
    </row>
    <row r="5077" spans="1:2" x14ac:dyDescent="0.25">
      <c r="A5077" t="s">
        <v>7626</v>
      </c>
      <c r="B5077">
        <v>196246</v>
      </c>
    </row>
    <row r="5078" spans="1:2" x14ac:dyDescent="0.25">
      <c r="A5078" t="s">
        <v>7627</v>
      </c>
      <c r="B5078">
        <v>196200</v>
      </c>
    </row>
    <row r="5079" spans="1:2" x14ac:dyDescent="0.25">
      <c r="A5079" t="s">
        <v>7628</v>
      </c>
      <c r="B5079">
        <v>196033</v>
      </c>
    </row>
    <row r="5080" spans="1:2" x14ac:dyDescent="0.25">
      <c r="A5080" t="s">
        <v>7629</v>
      </c>
      <c r="B5080">
        <v>196103</v>
      </c>
    </row>
    <row r="5081" spans="1:2" x14ac:dyDescent="0.25">
      <c r="A5081" t="s">
        <v>7630</v>
      </c>
      <c r="B5081">
        <v>196228</v>
      </c>
    </row>
    <row r="5082" spans="1:2" x14ac:dyDescent="0.25">
      <c r="A5082" t="s">
        <v>7631</v>
      </c>
      <c r="B5082">
        <v>196006</v>
      </c>
    </row>
    <row r="5083" spans="1:2" x14ac:dyDescent="0.25">
      <c r="A5083" t="s">
        <v>7632</v>
      </c>
      <c r="B5083">
        <v>196015</v>
      </c>
    </row>
    <row r="5084" spans="1:2" x14ac:dyDescent="0.25">
      <c r="A5084" t="s">
        <v>7633</v>
      </c>
      <c r="B5084">
        <v>196024</v>
      </c>
    </row>
    <row r="5085" spans="1:2" x14ac:dyDescent="0.25">
      <c r="A5085" t="s">
        <v>7634</v>
      </c>
      <c r="B5085">
        <v>190442</v>
      </c>
    </row>
    <row r="5086" spans="1:2" x14ac:dyDescent="0.25">
      <c r="A5086" t="s">
        <v>7635</v>
      </c>
      <c r="B5086">
        <v>196149</v>
      </c>
    </row>
    <row r="5087" spans="1:2" x14ac:dyDescent="0.25">
      <c r="A5087" t="s">
        <v>7636</v>
      </c>
      <c r="B5087">
        <v>196255</v>
      </c>
    </row>
    <row r="5088" spans="1:2" x14ac:dyDescent="0.25">
      <c r="A5088" t="s">
        <v>7637</v>
      </c>
      <c r="B5088">
        <v>196264</v>
      </c>
    </row>
    <row r="5089" spans="1:2" x14ac:dyDescent="0.25">
      <c r="A5089" t="s">
        <v>7638</v>
      </c>
      <c r="B5089">
        <v>196291</v>
      </c>
    </row>
    <row r="5090" spans="1:2" x14ac:dyDescent="0.25">
      <c r="A5090" t="s">
        <v>7639</v>
      </c>
      <c r="B5090">
        <v>196051</v>
      </c>
    </row>
    <row r="5091" spans="1:2" x14ac:dyDescent="0.25">
      <c r="A5091" t="s">
        <v>7640</v>
      </c>
      <c r="B5091">
        <v>196185</v>
      </c>
    </row>
    <row r="5092" spans="1:2" x14ac:dyDescent="0.25">
      <c r="A5092" t="s">
        <v>7641</v>
      </c>
      <c r="B5092">
        <v>196112</v>
      </c>
    </row>
    <row r="5093" spans="1:2" x14ac:dyDescent="0.25">
      <c r="A5093" t="s">
        <v>7642</v>
      </c>
      <c r="B5093">
        <v>197294</v>
      </c>
    </row>
    <row r="5094" spans="1:2" x14ac:dyDescent="0.25">
      <c r="A5094" t="s">
        <v>7643</v>
      </c>
      <c r="B5094">
        <v>195827</v>
      </c>
    </row>
    <row r="5095" spans="1:2" x14ac:dyDescent="0.25">
      <c r="A5095" t="s">
        <v>7644</v>
      </c>
      <c r="B5095">
        <v>199768</v>
      </c>
    </row>
    <row r="5096" spans="1:2" x14ac:dyDescent="0.25">
      <c r="A5096" t="s">
        <v>7645</v>
      </c>
      <c r="B5096">
        <v>441672</v>
      </c>
    </row>
    <row r="5097" spans="1:2" x14ac:dyDescent="0.25">
      <c r="A5097" t="s">
        <v>7646</v>
      </c>
      <c r="B5097">
        <v>216278</v>
      </c>
    </row>
    <row r="5098" spans="1:2" x14ac:dyDescent="0.25">
      <c r="A5098" t="s">
        <v>7647</v>
      </c>
      <c r="B5098">
        <v>247603</v>
      </c>
    </row>
    <row r="5099" spans="1:2" x14ac:dyDescent="0.25">
      <c r="A5099" t="s">
        <v>7648</v>
      </c>
      <c r="B5099">
        <v>446093</v>
      </c>
    </row>
    <row r="5100" spans="1:2" x14ac:dyDescent="0.25">
      <c r="A5100" t="s">
        <v>7649</v>
      </c>
      <c r="B5100">
        <v>216287</v>
      </c>
    </row>
    <row r="5101" spans="1:2" x14ac:dyDescent="0.25">
      <c r="A5101" t="s">
        <v>7650</v>
      </c>
      <c r="B5101">
        <v>196389</v>
      </c>
    </row>
    <row r="5102" spans="1:2" x14ac:dyDescent="0.25">
      <c r="A5102" t="s">
        <v>7651</v>
      </c>
      <c r="B5102">
        <v>233718</v>
      </c>
    </row>
    <row r="5103" spans="1:2" x14ac:dyDescent="0.25">
      <c r="A5103" t="s">
        <v>7652</v>
      </c>
      <c r="B5103">
        <v>233286</v>
      </c>
    </row>
    <row r="5104" spans="1:2" x14ac:dyDescent="0.25">
      <c r="A5104" t="s">
        <v>7653</v>
      </c>
      <c r="B5104">
        <v>196413</v>
      </c>
    </row>
    <row r="5105" spans="1:2" x14ac:dyDescent="0.25">
      <c r="A5105" t="s">
        <v>7654</v>
      </c>
      <c r="B5105">
        <v>155973</v>
      </c>
    </row>
    <row r="5106" spans="1:2" x14ac:dyDescent="0.25">
      <c r="A5106" t="s">
        <v>7655</v>
      </c>
      <c r="B5106">
        <v>236753</v>
      </c>
    </row>
    <row r="5107" spans="1:2" x14ac:dyDescent="0.25">
      <c r="A5107" t="s">
        <v>7656</v>
      </c>
      <c r="B5107">
        <v>124113</v>
      </c>
    </row>
    <row r="5108" spans="1:2" x14ac:dyDescent="0.25">
      <c r="A5108" t="s">
        <v>7657</v>
      </c>
      <c r="B5108">
        <v>454689</v>
      </c>
    </row>
    <row r="5109" spans="1:2" x14ac:dyDescent="0.25">
      <c r="A5109" t="s">
        <v>7658</v>
      </c>
      <c r="B5109">
        <v>102298</v>
      </c>
    </row>
    <row r="5110" spans="1:2" x14ac:dyDescent="0.25">
      <c r="A5110" t="s">
        <v>7659</v>
      </c>
      <c r="B5110">
        <v>137759</v>
      </c>
    </row>
    <row r="5111" spans="1:2" x14ac:dyDescent="0.25">
      <c r="A5111" t="s">
        <v>7660</v>
      </c>
      <c r="B5111">
        <v>137777</v>
      </c>
    </row>
    <row r="5112" spans="1:2" x14ac:dyDescent="0.25">
      <c r="A5112" t="s">
        <v>7661</v>
      </c>
      <c r="B5112">
        <v>186900</v>
      </c>
    </row>
    <row r="5113" spans="1:2" x14ac:dyDescent="0.25">
      <c r="A5113" t="s">
        <v>7662</v>
      </c>
      <c r="B5113">
        <v>196440</v>
      </c>
    </row>
    <row r="5114" spans="1:2" x14ac:dyDescent="0.25">
      <c r="A5114" t="s">
        <v>7663</v>
      </c>
      <c r="B5114">
        <v>451404</v>
      </c>
    </row>
    <row r="5115" spans="1:2" x14ac:dyDescent="0.25">
      <c r="A5115" t="s">
        <v>7664</v>
      </c>
      <c r="B5115">
        <v>196431</v>
      </c>
    </row>
    <row r="5116" spans="1:2" x14ac:dyDescent="0.25">
      <c r="A5116" t="s">
        <v>7665</v>
      </c>
      <c r="B5116">
        <v>216311</v>
      </c>
    </row>
    <row r="5117" spans="1:2" x14ac:dyDescent="0.25">
      <c r="A5117" t="s">
        <v>7666</v>
      </c>
      <c r="B5117">
        <v>228529</v>
      </c>
    </row>
    <row r="5118" spans="1:2" x14ac:dyDescent="0.25">
      <c r="A5118" t="s">
        <v>7667</v>
      </c>
      <c r="B5118">
        <v>228547</v>
      </c>
    </row>
    <row r="5119" spans="1:2" x14ac:dyDescent="0.25">
      <c r="A5119" t="s">
        <v>7668</v>
      </c>
      <c r="B5119">
        <v>495341</v>
      </c>
    </row>
    <row r="5120" spans="1:2" x14ac:dyDescent="0.25">
      <c r="A5120" t="s">
        <v>7669</v>
      </c>
      <c r="B5120">
        <v>484394</v>
      </c>
    </row>
    <row r="5121" spans="1:2" x14ac:dyDescent="0.25">
      <c r="A5121" t="s">
        <v>7670</v>
      </c>
      <c r="B5121">
        <v>461494</v>
      </c>
    </row>
    <row r="5122" spans="1:2" x14ac:dyDescent="0.25">
      <c r="A5122" t="s">
        <v>7671</v>
      </c>
      <c r="B5122">
        <v>461926</v>
      </c>
    </row>
    <row r="5123" spans="1:2" x14ac:dyDescent="0.25">
      <c r="A5123" t="s">
        <v>7672</v>
      </c>
      <c r="B5123">
        <v>149310</v>
      </c>
    </row>
    <row r="5124" spans="1:2" x14ac:dyDescent="0.25">
      <c r="A5124" t="s">
        <v>7673</v>
      </c>
      <c r="B5124">
        <v>449524</v>
      </c>
    </row>
    <row r="5125" spans="1:2" x14ac:dyDescent="0.25">
      <c r="A5125" t="s">
        <v>7674</v>
      </c>
      <c r="B5125">
        <v>151564</v>
      </c>
    </row>
    <row r="5126" spans="1:2" x14ac:dyDescent="0.25">
      <c r="A5126" t="s">
        <v>7675</v>
      </c>
      <c r="B5126">
        <v>152530</v>
      </c>
    </row>
    <row r="5127" spans="1:2" x14ac:dyDescent="0.25">
      <c r="A5127" t="s">
        <v>7676</v>
      </c>
      <c r="B5127">
        <v>261719</v>
      </c>
    </row>
    <row r="5128" spans="1:2" x14ac:dyDescent="0.25">
      <c r="A5128" t="s">
        <v>7677</v>
      </c>
      <c r="B5128">
        <v>249566</v>
      </c>
    </row>
    <row r="5129" spans="1:2" x14ac:dyDescent="0.25">
      <c r="A5129" t="s">
        <v>7678</v>
      </c>
      <c r="B5129">
        <v>196468</v>
      </c>
    </row>
    <row r="5130" spans="1:2" x14ac:dyDescent="0.25">
      <c r="A5130" t="s">
        <v>7679</v>
      </c>
      <c r="B5130">
        <v>488800</v>
      </c>
    </row>
    <row r="5131" spans="1:2" x14ac:dyDescent="0.25">
      <c r="A5131" t="s">
        <v>7680</v>
      </c>
      <c r="B5131">
        <v>217712</v>
      </c>
    </row>
    <row r="5132" spans="1:2" x14ac:dyDescent="0.25">
      <c r="A5132" t="s">
        <v>7681</v>
      </c>
      <c r="B5132">
        <v>126915</v>
      </c>
    </row>
    <row r="5133" spans="1:2" x14ac:dyDescent="0.25">
      <c r="A5133" t="s">
        <v>7682</v>
      </c>
      <c r="B5133">
        <v>444893</v>
      </c>
    </row>
    <row r="5134" spans="1:2" x14ac:dyDescent="0.25">
      <c r="A5134" t="s">
        <v>7683</v>
      </c>
      <c r="B5134">
        <v>149329</v>
      </c>
    </row>
    <row r="5135" spans="1:2" x14ac:dyDescent="0.25">
      <c r="A5135" t="s">
        <v>7684</v>
      </c>
      <c r="B5135">
        <v>228608</v>
      </c>
    </row>
    <row r="5136" spans="1:2" x14ac:dyDescent="0.25">
      <c r="A5136" t="s">
        <v>7685</v>
      </c>
      <c r="B5136">
        <v>216339</v>
      </c>
    </row>
    <row r="5137" spans="1:2" x14ac:dyDescent="0.25">
      <c r="A5137" t="s">
        <v>7686</v>
      </c>
      <c r="B5137">
        <v>457448</v>
      </c>
    </row>
    <row r="5138" spans="1:2" x14ac:dyDescent="0.25">
      <c r="A5138" t="s">
        <v>7687</v>
      </c>
      <c r="B5138">
        <v>409379</v>
      </c>
    </row>
    <row r="5139" spans="1:2" x14ac:dyDescent="0.25">
      <c r="A5139" t="s">
        <v>7688</v>
      </c>
      <c r="B5139">
        <v>248925</v>
      </c>
    </row>
    <row r="5140" spans="1:2" x14ac:dyDescent="0.25">
      <c r="A5140" t="s">
        <v>7689</v>
      </c>
      <c r="B5140">
        <v>219596</v>
      </c>
    </row>
    <row r="5141" spans="1:2" x14ac:dyDescent="0.25">
      <c r="A5141" t="s">
        <v>7690</v>
      </c>
      <c r="B5141">
        <v>219921</v>
      </c>
    </row>
    <row r="5142" spans="1:2" x14ac:dyDescent="0.25">
      <c r="A5142" t="s">
        <v>7691</v>
      </c>
      <c r="B5142">
        <v>221591</v>
      </c>
    </row>
    <row r="5143" spans="1:2" x14ac:dyDescent="0.25">
      <c r="A5143" t="s">
        <v>7692</v>
      </c>
      <c r="B5143">
        <v>221430</v>
      </c>
    </row>
    <row r="5144" spans="1:2" x14ac:dyDescent="0.25">
      <c r="A5144" t="s">
        <v>7693</v>
      </c>
      <c r="B5144">
        <v>219994</v>
      </c>
    </row>
    <row r="5145" spans="1:2" x14ac:dyDescent="0.25">
      <c r="A5145" t="s">
        <v>7694</v>
      </c>
      <c r="B5145">
        <v>220127</v>
      </c>
    </row>
    <row r="5146" spans="1:2" x14ac:dyDescent="0.25">
      <c r="A5146" t="s">
        <v>7695</v>
      </c>
      <c r="B5146">
        <v>220251</v>
      </c>
    </row>
    <row r="5147" spans="1:2" x14ac:dyDescent="0.25">
      <c r="A5147" t="s">
        <v>7696</v>
      </c>
      <c r="B5147">
        <v>220279</v>
      </c>
    </row>
    <row r="5148" spans="1:2" x14ac:dyDescent="0.25">
      <c r="A5148" t="s">
        <v>7697</v>
      </c>
      <c r="B5148">
        <v>220321</v>
      </c>
    </row>
    <row r="5149" spans="1:2" x14ac:dyDescent="0.25">
      <c r="A5149" t="s">
        <v>7698</v>
      </c>
      <c r="B5149">
        <v>220394</v>
      </c>
    </row>
    <row r="5150" spans="1:2" x14ac:dyDescent="0.25">
      <c r="A5150" t="s">
        <v>7699</v>
      </c>
      <c r="B5150">
        <v>221616</v>
      </c>
    </row>
    <row r="5151" spans="1:2" x14ac:dyDescent="0.25">
      <c r="A5151" t="s">
        <v>7700</v>
      </c>
      <c r="B5151">
        <v>221625</v>
      </c>
    </row>
    <row r="5152" spans="1:2" x14ac:dyDescent="0.25">
      <c r="A5152" t="s">
        <v>7701</v>
      </c>
      <c r="B5152">
        <v>220640</v>
      </c>
    </row>
    <row r="5153" spans="1:2" x14ac:dyDescent="0.25">
      <c r="A5153" t="s">
        <v>7702</v>
      </c>
      <c r="B5153">
        <v>220756</v>
      </c>
    </row>
    <row r="5154" spans="1:2" x14ac:dyDescent="0.25">
      <c r="A5154" t="s">
        <v>7703</v>
      </c>
      <c r="B5154">
        <v>221607</v>
      </c>
    </row>
    <row r="5155" spans="1:2" x14ac:dyDescent="0.25">
      <c r="A5155" t="s">
        <v>7704</v>
      </c>
      <c r="B5155">
        <v>220853</v>
      </c>
    </row>
    <row r="5156" spans="1:2" x14ac:dyDescent="0.25">
      <c r="A5156" t="s">
        <v>7705</v>
      </c>
      <c r="B5156">
        <v>221050</v>
      </c>
    </row>
    <row r="5157" spans="1:2" x14ac:dyDescent="0.25">
      <c r="A5157" t="s">
        <v>7706</v>
      </c>
      <c r="B5157">
        <v>221102</v>
      </c>
    </row>
    <row r="5158" spans="1:2" x14ac:dyDescent="0.25">
      <c r="A5158" t="s">
        <v>7707</v>
      </c>
      <c r="B5158">
        <v>221236</v>
      </c>
    </row>
    <row r="5159" spans="1:2" x14ac:dyDescent="0.25">
      <c r="A5159" t="s">
        <v>7708</v>
      </c>
      <c r="B5159">
        <v>221582</v>
      </c>
    </row>
    <row r="5160" spans="1:2" x14ac:dyDescent="0.25">
      <c r="A5160" t="s">
        <v>7709</v>
      </c>
      <c r="B5160">
        <v>221281</v>
      </c>
    </row>
    <row r="5161" spans="1:2" x14ac:dyDescent="0.25">
      <c r="A5161" t="s">
        <v>7710</v>
      </c>
      <c r="B5161">
        <v>221333</v>
      </c>
    </row>
    <row r="5162" spans="1:2" x14ac:dyDescent="0.25">
      <c r="A5162" t="s">
        <v>7711</v>
      </c>
      <c r="B5162">
        <v>221388</v>
      </c>
    </row>
    <row r="5163" spans="1:2" x14ac:dyDescent="0.25">
      <c r="A5163" t="s">
        <v>7712</v>
      </c>
      <c r="B5163">
        <v>221494</v>
      </c>
    </row>
    <row r="5164" spans="1:2" x14ac:dyDescent="0.25">
      <c r="A5164" t="s">
        <v>7713</v>
      </c>
      <c r="B5164">
        <v>221634</v>
      </c>
    </row>
    <row r="5165" spans="1:2" x14ac:dyDescent="0.25">
      <c r="A5165" t="s">
        <v>7714</v>
      </c>
      <c r="B5165">
        <v>221829</v>
      </c>
    </row>
    <row r="5166" spans="1:2" x14ac:dyDescent="0.25">
      <c r="A5166" t="s">
        <v>7715</v>
      </c>
      <c r="B5166">
        <v>221838</v>
      </c>
    </row>
    <row r="5167" spans="1:2" x14ac:dyDescent="0.25">
      <c r="A5167" t="s">
        <v>7716</v>
      </c>
      <c r="B5167">
        <v>221847</v>
      </c>
    </row>
    <row r="5168" spans="1:2" x14ac:dyDescent="0.25">
      <c r="A5168" t="s">
        <v>7717</v>
      </c>
      <c r="B5168">
        <v>221731</v>
      </c>
    </row>
    <row r="5169" spans="1:2" x14ac:dyDescent="0.25">
      <c r="A5169" t="s">
        <v>7718</v>
      </c>
      <c r="B5169">
        <v>206011</v>
      </c>
    </row>
    <row r="5170" spans="1:2" x14ac:dyDescent="0.25">
      <c r="A5170" t="s">
        <v>7719</v>
      </c>
      <c r="B5170">
        <v>228699</v>
      </c>
    </row>
    <row r="5171" spans="1:2" x14ac:dyDescent="0.25">
      <c r="A5171" t="s">
        <v>7720</v>
      </c>
      <c r="B5171">
        <v>226152</v>
      </c>
    </row>
    <row r="5172" spans="1:2" x14ac:dyDescent="0.25">
      <c r="A5172" t="s">
        <v>7721</v>
      </c>
      <c r="B5172">
        <v>228723</v>
      </c>
    </row>
    <row r="5173" spans="1:2" x14ac:dyDescent="0.25">
      <c r="A5173" t="s">
        <v>7722</v>
      </c>
      <c r="B5173">
        <v>224554</v>
      </c>
    </row>
    <row r="5174" spans="1:2" x14ac:dyDescent="0.25">
      <c r="A5174" t="s">
        <v>7723</v>
      </c>
      <c r="B5174">
        <v>224147</v>
      </c>
    </row>
    <row r="5175" spans="1:2" x14ac:dyDescent="0.25">
      <c r="A5175" t="s">
        <v>7724</v>
      </c>
      <c r="B5175">
        <v>228705</v>
      </c>
    </row>
    <row r="5176" spans="1:2" x14ac:dyDescent="0.25">
      <c r="A5176" t="s">
        <v>7725</v>
      </c>
      <c r="B5176">
        <v>228732</v>
      </c>
    </row>
    <row r="5177" spans="1:2" x14ac:dyDescent="0.25">
      <c r="A5177" t="s">
        <v>7726</v>
      </c>
      <c r="B5177">
        <v>483036</v>
      </c>
    </row>
    <row r="5178" spans="1:2" x14ac:dyDescent="0.25">
      <c r="A5178" t="s">
        <v>7727</v>
      </c>
      <c r="B5178">
        <v>459949</v>
      </c>
    </row>
    <row r="5179" spans="1:2" x14ac:dyDescent="0.25">
      <c r="A5179" t="s">
        <v>7728</v>
      </c>
      <c r="B5179">
        <v>224545</v>
      </c>
    </row>
    <row r="5180" spans="1:2" x14ac:dyDescent="0.25">
      <c r="A5180" t="s">
        <v>7729</v>
      </c>
      <c r="B5180">
        <v>440989</v>
      </c>
    </row>
    <row r="5181" spans="1:2" x14ac:dyDescent="0.25">
      <c r="A5181" t="s">
        <v>7730</v>
      </c>
      <c r="B5181">
        <v>458061</v>
      </c>
    </row>
    <row r="5182" spans="1:2" x14ac:dyDescent="0.25">
      <c r="A5182" t="s">
        <v>7731</v>
      </c>
      <c r="B5182">
        <v>228866</v>
      </c>
    </row>
    <row r="5183" spans="1:2" x14ac:dyDescent="0.25">
      <c r="A5183" t="s">
        <v>7732</v>
      </c>
      <c r="B5183">
        <v>228875</v>
      </c>
    </row>
    <row r="5184" spans="1:2" x14ac:dyDescent="0.25">
      <c r="A5184" t="s">
        <v>7733</v>
      </c>
      <c r="B5184">
        <v>228884</v>
      </c>
    </row>
    <row r="5185" spans="1:2" x14ac:dyDescent="0.25">
      <c r="A5185" t="s">
        <v>7734</v>
      </c>
      <c r="B5185">
        <v>377315</v>
      </c>
    </row>
    <row r="5186" spans="1:2" x14ac:dyDescent="0.25">
      <c r="A5186" t="s">
        <v>7735</v>
      </c>
      <c r="B5186">
        <v>487232</v>
      </c>
    </row>
    <row r="5187" spans="1:2" x14ac:dyDescent="0.25">
      <c r="A5187" t="s">
        <v>7736</v>
      </c>
      <c r="B5187">
        <v>419633</v>
      </c>
    </row>
    <row r="5188" spans="1:2" x14ac:dyDescent="0.25">
      <c r="A5188" t="s">
        <v>7737</v>
      </c>
      <c r="B5188">
        <v>441487</v>
      </c>
    </row>
    <row r="5189" spans="1:2" x14ac:dyDescent="0.25">
      <c r="A5189" t="s">
        <v>7738</v>
      </c>
      <c r="B5189">
        <v>430704</v>
      </c>
    </row>
    <row r="5190" spans="1:2" x14ac:dyDescent="0.25">
      <c r="A5190" t="s">
        <v>7739</v>
      </c>
      <c r="B5190">
        <v>448196</v>
      </c>
    </row>
    <row r="5191" spans="1:2" x14ac:dyDescent="0.25">
      <c r="A5191" t="s">
        <v>7740</v>
      </c>
      <c r="B5191">
        <v>494694</v>
      </c>
    </row>
    <row r="5192" spans="1:2" x14ac:dyDescent="0.25">
      <c r="A5192" t="s">
        <v>7741</v>
      </c>
      <c r="B5192">
        <v>228981</v>
      </c>
    </row>
    <row r="5193" spans="1:2" x14ac:dyDescent="0.25">
      <c r="A5193" t="s">
        <v>7742</v>
      </c>
      <c r="B5193">
        <v>229063</v>
      </c>
    </row>
    <row r="5194" spans="1:2" x14ac:dyDescent="0.25">
      <c r="A5194" t="s">
        <v>7743</v>
      </c>
      <c r="B5194">
        <v>227377</v>
      </c>
    </row>
    <row r="5195" spans="1:2" x14ac:dyDescent="0.25">
      <c r="A5195" t="s">
        <v>7744</v>
      </c>
      <c r="B5195">
        <v>487320</v>
      </c>
    </row>
    <row r="5196" spans="1:2" x14ac:dyDescent="0.25">
      <c r="A5196" t="s">
        <v>7745</v>
      </c>
      <c r="B5196">
        <v>228459</v>
      </c>
    </row>
    <row r="5197" spans="1:2" x14ac:dyDescent="0.25">
      <c r="A5197" t="s">
        <v>7746</v>
      </c>
      <c r="B5197">
        <v>229115</v>
      </c>
    </row>
    <row r="5198" spans="1:2" x14ac:dyDescent="0.25">
      <c r="A5198" t="s">
        <v>7747</v>
      </c>
      <c r="B5198">
        <v>229337</v>
      </c>
    </row>
    <row r="5199" spans="1:2" x14ac:dyDescent="0.25">
      <c r="A5199" t="s">
        <v>7748</v>
      </c>
      <c r="B5199">
        <v>492689</v>
      </c>
    </row>
    <row r="5200" spans="1:2" x14ac:dyDescent="0.25">
      <c r="A5200" t="s">
        <v>7749</v>
      </c>
      <c r="B5200">
        <v>439154</v>
      </c>
    </row>
    <row r="5201" spans="1:2" x14ac:dyDescent="0.25">
      <c r="A5201" t="s">
        <v>7750</v>
      </c>
      <c r="B5201">
        <v>229160</v>
      </c>
    </row>
    <row r="5202" spans="1:2" x14ac:dyDescent="0.25">
      <c r="A5202" t="s">
        <v>7751</v>
      </c>
      <c r="B5202">
        <v>229179</v>
      </c>
    </row>
    <row r="5203" spans="1:2" x14ac:dyDescent="0.25">
      <c r="A5203" t="s">
        <v>7752</v>
      </c>
      <c r="B5203">
        <v>488129</v>
      </c>
    </row>
    <row r="5204" spans="1:2" x14ac:dyDescent="0.25">
      <c r="A5204" t="s">
        <v>7753</v>
      </c>
      <c r="B5204">
        <v>216296</v>
      </c>
    </row>
    <row r="5205" spans="1:2" x14ac:dyDescent="0.25">
      <c r="A5205" t="s">
        <v>7754</v>
      </c>
      <c r="B5205">
        <v>368832</v>
      </c>
    </row>
    <row r="5206" spans="1:2" x14ac:dyDescent="0.25">
      <c r="A5206" t="s">
        <v>7755</v>
      </c>
      <c r="B5206">
        <v>210711</v>
      </c>
    </row>
    <row r="5207" spans="1:2" x14ac:dyDescent="0.25">
      <c r="A5207" t="s">
        <v>7756</v>
      </c>
      <c r="B5207">
        <v>496539</v>
      </c>
    </row>
    <row r="5208" spans="1:2" x14ac:dyDescent="0.25">
      <c r="A5208" t="s">
        <v>7757</v>
      </c>
      <c r="B5208">
        <v>438674</v>
      </c>
    </row>
    <row r="5209" spans="1:2" x14ac:dyDescent="0.25">
      <c r="A5209" t="s">
        <v>7758</v>
      </c>
      <c r="B5209">
        <v>188669</v>
      </c>
    </row>
    <row r="5210" spans="1:2" x14ac:dyDescent="0.25">
      <c r="A5210" t="s">
        <v>7759</v>
      </c>
      <c r="B5210">
        <v>138813</v>
      </c>
    </row>
    <row r="5211" spans="1:2" x14ac:dyDescent="0.25">
      <c r="A5211" t="s">
        <v>7760</v>
      </c>
      <c r="B5211">
        <v>451820</v>
      </c>
    </row>
    <row r="5212" spans="1:2" x14ac:dyDescent="0.25">
      <c r="A5212" t="s">
        <v>7761</v>
      </c>
      <c r="B5212">
        <v>222938</v>
      </c>
    </row>
    <row r="5213" spans="1:2" x14ac:dyDescent="0.25">
      <c r="A5213" t="s">
        <v>7762</v>
      </c>
      <c r="B5213">
        <v>458982</v>
      </c>
    </row>
    <row r="5214" spans="1:2" x14ac:dyDescent="0.25">
      <c r="A5214" t="s">
        <v>7763</v>
      </c>
      <c r="B5214">
        <v>458496</v>
      </c>
    </row>
    <row r="5215" spans="1:2" x14ac:dyDescent="0.25">
      <c r="A5215" t="s">
        <v>7764</v>
      </c>
      <c r="B5215">
        <v>132408</v>
      </c>
    </row>
    <row r="5216" spans="1:2" x14ac:dyDescent="0.25">
      <c r="A5216" t="s">
        <v>7765</v>
      </c>
      <c r="B5216">
        <v>476708</v>
      </c>
    </row>
    <row r="5217" spans="1:2" x14ac:dyDescent="0.25">
      <c r="A5217" t="s">
        <v>7766</v>
      </c>
      <c r="B5217">
        <v>216223</v>
      </c>
    </row>
    <row r="5218" spans="1:2" x14ac:dyDescent="0.25">
      <c r="A5218" t="s">
        <v>7766</v>
      </c>
      <c r="B5218">
        <v>444404</v>
      </c>
    </row>
    <row r="5219" spans="1:2" x14ac:dyDescent="0.25">
      <c r="A5219" t="s">
        <v>7767</v>
      </c>
      <c r="B5219">
        <v>210784</v>
      </c>
    </row>
    <row r="5220" spans="1:2" x14ac:dyDescent="0.25">
      <c r="A5220" t="s">
        <v>7768</v>
      </c>
      <c r="B5220">
        <v>131283</v>
      </c>
    </row>
    <row r="5221" spans="1:2" x14ac:dyDescent="0.25">
      <c r="A5221" t="s">
        <v>7769</v>
      </c>
      <c r="B5221">
        <v>455433</v>
      </c>
    </row>
    <row r="5222" spans="1:2" x14ac:dyDescent="0.25">
      <c r="A5222" t="s">
        <v>7770</v>
      </c>
      <c r="B5222">
        <v>143978</v>
      </c>
    </row>
    <row r="5223" spans="1:2" x14ac:dyDescent="0.25">
      <c r="A5223" t="s">
        <v>7771</v>
      </c>
      <c r="B5223">
        <v>455664</v>
      </c>
    </row>
    <row r="5224" spans="1:2" x14ac:dyDescent="0.25">
      <c r="A5224" t="s">
        <v>7772</v>
      </c>
      <c r="B5224">
        <v>491190</v>
      </c>
    </row>
    <row r="5225" spans="1:2" x14ac:dyDescent="0.25">
      <c r="A5225" t="s">
        <v>7773</v>
      </c>
      <c r="B5225">
        <v>459745</v>
      </c>
    </row>
    <row r="5226" spans="1:2" x14ac:dyDescent="0.25">
      <c r="A5226" t="s">
        <v>7774</v>
      </c>
      <c r="B5226">
        <v>487153</v>
      </c>
    </row>
    <row r="5227" spans="1:2" x14ac:dyDescent="0.25">
      <c r="A5227" t="s">
        <v>7775</v>
      </c>
      <c r="B5227">
        <v>201821</v>
      </c>
    </row>
    <row r="5228" spans="1:2" x14ac:dyDescent="0.25">
      <c r="A5228" t="s">
        <v>7776</v>
      </c>
      <c r="B5228">
        <v>481526</v>
      </c>
    </row>
    <row r="5229" spans="1:2" x14ac:dyDescent="0.25">
      <c r="A5229" t="s">
        <v>7777</v>
      </c>
      <c r="B5229">
        <v>437635</v>
      </c>
    </row>
    <row r="5230" spans="1:2" x14ac:dyDescent="0.25">
      <c r="A5230" t="s">
        <v>7778</v>
      </c>
      <c r="B5230">
        <v>480824</v>
      </c>
    </row>
    <row r="5231" spans="1:2" x14ac:dyDescent="0.25">
      <c r="A5231" t="s">
        <v>7779</v>
      </c>
      <c r="B5231">
        <v>480833</v>
      </c>
    </row>
    <row r="5232" spans="1:2" x14ac:dyDescent="0.25">
      <c r="A5232" t="s">
        <v>7780</v>
      </c>
      <c r="B5232">
        <v>489283</v>
      </c>
    </row>
    <row r="5233" spans="1:2" x14ac:dyDescent="0.25">
      <c r="A5233" t="s">
        <v>7781</v>
      </c>
      <c r="B5233">
        <v>392257</v>
      </c>
    </row>
    <row r="5234" spans="1:2" x14ac:dyDescent="0.25">
      <c r="A5234" t="s">
        <v>7782</v>
      </c>
      <c r="B5234">
        <v>449250</v>
      </c>
    </row>
    <row r="5235" spans="1:2" x14ac:dyDescent="0.25">
      <c r="A5235" t="s">
        <v>7783</v>
      </c>
      <c r="B5235">
        <v>492722</v>
      </c>
    </row>
    <row r="5236" spans="1:2" x14ac:dyDescent="0.25">
      <c r="A5236" t="s">
        <v>7784</v>
      </c>
      <c r="B5236">
        <v>447591</v>
      </c>
    </row>
    <row r="5237" spans="1:2" x14ac:dyDescent="0.25">
      <c r="A5237" t="s">
        <v>7785</v>
      </c>
      <c r="B5237">
        <v>142294</v>
      </c>
    </row>
    <row r="5238" spans="1:2" x14ac:dyDescent="0.25">
      <c r="A5238" t="s">
        <v>7786</v>
      </c>
      <c r="B5238">
        <v>187134</v>
      </c>
    </row>
    <row r="5239" spans="1:2" x14ac:dyDescent="0.25">
      <c r="A5239" t="s">
        <v>7787</v>
      </c>
      <c r="B5239">
        <v>195234</v>
      </c>
    </row>
    <row r="5240" spans="1:2" x14ac:dyDescent="0.25">
      <c r="A5240" t="s">
        <v>7788</v>
      </c>
      <c r="B5240">
        <v>174899</v>
      </c>
    </row>
    <row r="5241" spans="1:2" x14ac:dyDescent="0.25">
      <c r="A5241" t="s">
        <v>7789</v>
      </c>
      <c r="B5241">
        <v>133960</v>
      </c>
    </row>
    <row r="5242" spans="1:2" x14ac:dyDescent="0.25">
      <c r="A5242" t="s">
        <v>7790</v>
      </c>
      <c r="B5242">
        <v>197285</v>
      </c>
    </row>
    <row r="5243" spans="1:2" x14ac:dyDescent="0.25">
      <c r="A5243" t="s">
        <v>7791</v>
      </c>
      <c r="B5243">
        <v>206589</v>
      </c>
    </row>
    <row r="5244" spans="1:2" x14ac:dyDescent="0.25">
      <c r="A5244" t="s">
        <v>7792</v>
      </c>
      <c r="B5244">
        <v>492087</v>
      </c>
    </row>
    <row r="5245" spans="1:2" x14ac:dyDescent="0.25">
      <c r="A5245" t="s">
        <v>7793</v>
      </c>
      <c r="B5245">
        <v>430485</v>
      </c>
    </row>
    <row r="5246" spans="1:2" x14ac:dyDescent="0.25">
      <c r="A5246" t="s">
        <v>7794</v>
      </c>
      <c r="B5246">
        <v>141015</v>
      </c>
    </row>
    <row r="5247" spans="1:2" x14ac:dyDescent="0.25">
      <c r="A5247" t="s">
        <v>7795</v>
      </c>
      <c r="B5247">
        <v>491251</v>
      </c>
    </row>
    <row r="5248" spans="1:2" x14ac:dyDescent="0.25">
      <c r="A5248" t="s">
        <v>7796</v>
      </c>
      <c r="B5248">
        <v>490443</v>
      </c>
    </row>
    <row r="5249" spans="1:2" x14ac:dyDescent="0.25">
      <c r="A5249" t="s">
        <v>7797</v>
      </c>
      <c r="B5249">
        <v>235167</v>
      </c>
    </row>
    <row r="5250" spans="1:2" x14ac:dyDescent="0.25">
      <c r="A5250" t="s">
        <v>7798</v>
      </c>
      <c r="B5250">
        <v>483230</v>
      </c>
    </row>
    <row r="5251" spans="1:2" x14ac:dyDescent="0.25">
      <c r="A5251" t="s">
        <v>7799</v>
      </c>
      <c r="B5251">
        <v>191320</v>
      </c>
    </row>
    <row r="5252" spans="1:2" x14ac:dyDescent="0.25">
      <c r="A5252" t="s">
        <v>7800</v>
      </c>
      <c r="B5252">
        <v>452009</v>
      </c>
    </row>
    <row r="5253" spans="1:2" x14ac:dyDescent="0.25">
      <c r="A5253" t="s">
        <v>7801</v>
      </c>
      <c r="B5253">
        <v>220163</v>
      </c>
    </row>
    <row r="5254" spans="1:2" x14ac:dyDescent="0.25">
      <c r="A5254" t="s">
        <v>7802</v>
      </c>
      <c r="B5254">
        <v>482972</v>
      </c>
    </row>
    <row r="5255" spans="1:2" x14ac:dyDescent="0.25">
      <c r="A5255" t="s">
        <v>7803</v>
      </c>
      <c r="B5255">
        <v>450650</v>
      </c>
    </row>
    <row r="5256" spans="1:2" x14ac:dyDescent="0.25">
      <c r="A5256" t="s">
        <v>7804</v>
      </c>
      <c r="B5256">
        <v>191287</v>
      </c>
    </row>
    <row r="5257" spans="1:2" x14ac:dyDescent="0.25">
      <c r="A5257" t="s">
        <v>7805</v>
      </c>
      <c r="B5257">
        <v>192110</v>
      </c>
    </row>
    <row r="5258" spans="1:2" x14ac:dyDescent="0.25">
      <c r="A5258" t="s">
        <v>7806</v>
      </c>
      <c r="B5258">
        <v>454184</v>
      </c>
    </row>
    <row r="5259" spans="1:2" x14ac:dyDescent="0.25">
      <c r="A5259" t="s">
        <v>7807</v>
      </c>
      <c r="B5259">
        <v>439701</v>
      </c>
    </row>
    <row r="5260" spans="1:2" x14ac:dyDescent="0.25">
      <c r="A5260" t="s">
        <v>7808</v>
      </c>
      <c r="B5260">
        <v>161208</v>
      </c>
    </row>
    <row r="5261" spans="1:2" x14ac:dyDescent="0.25">
      <c r="A5261" t="s">
        <v>7809</v>
      </c>
      <c r="B5261">
        <v>117751</v>
      </c>
    </row>
    <row r="5262" spans="1:2" x14ac:dyDescent="0.25">
      <c r="A5262" t="s">
        <v>7810</v>
      </c>
      <c r="B5262">
        <v>171012</v>
      </c>
    </row>
    <row r="5263" spans="1:2" x14ac:dyDescent="0.25">
      <c r="A5263" t="s">
        <v>7811</v>
      </c>
      <c r="B5263">
        <v>205391</v>
      </c>
    </row>
    <row r="5264" spans="1:2" x14ac:dyDescent="0.25">
      <c r="A5264" t="s">
        <v>7812</v>
      </c>
      <c r="B5264">
        <v>167057</v>
      </c>
    </row>
    <row r="5265" spans="1:2" x14ac:dyDescent="0.25">
      <c r="A5265" t="s">
        <v>7813</v>
      </c>
      <c r="B5265">
        <v>193654</v>
      </c>
    </row>
    <row r="5266" spans="1:2" x14ac:dyDescent="0.25">
      <c r="A5266" t="s">
        <v>7814</v>
      </c>
      <c r="B5266">
        <v>193672</v>
      </c>
    </row>
    <row r="5267" spans="1:2" x14ac:dyDescent="0.25">
      <c r="A5267" t="s">
        <v>7815</v>
      </c>
      <c r="B5267">
        <v>206394</v>
      </c>
    </row>
    <row r="5268" spans="1:2" x14ac:dyDescent="0.25">
      <c r="A5268" t="s">
        <v>7816</v>
      </c>
      <c r="B5268">
        <v>495767</v>
      </c>
    </row>
    <row r="5269" spans="1:2" x14ac:dyDescent="0.25">
      <c r="A5269" t="s">
        <v>7817</v>
      </c>
      <c r="B5269">
        <v>495305</v>
      </c>
    </row>
    <row r="5270" spans="1:2" x14ac:dyDescent="0.25">
      <c r="A5270" t="s">
        <v>7818</v>
      </c>
      <c r="B5270">
        <v>238810</v>
      </c>
    </row>
    <row r="5271" spans="1:2" x14ac:dyDescent="0.25">
      <c r="A5271" t="s">
        <v>7819</v>
      </c>
      <c r="B5271">
        <v>497189</v>
      </c>
    </row>
    <row r="5272" spans="1:2" x14ac:dyDescent="0.25">
      <c r="A5272" t="s">
        <v>7820</v>
      </c>
      <c r="B5272">
        <v>485953</v>
      </c>
    </row>
    <row r="5273" spans="1:2" x14ac:dyDescent="0.25">
      <c r="A5273" t="s">
        <v>7821</v>
      </c>
      <c r="B5273">
        <v>219037</v>
      </c>
    </row>
    <row r="5274" spans="1:2" x14ac:dyDescent="0.25">
      <c r="A5274" t="s">
        <v>7821</v>
      </c>
      <c r="B5274">
        <v>462345</v>
      </c>
    </row>
    <row r="5275" spans="1:2" x14ac:dyDescent="0.25">
      <c r="A5275" t="s">
        <v>7822</v>
      </c>
      <c r="B5275">
        <v>215530</v>
      </c>
    </row>
    <row r="5276" spans="1:2" x14ac:dyDescent="0.25">
      <c r="A5276" t="s">
        <v>7823</v>
      </c>
      <c r="B5276">
        <v>454537</v>
      </c>
    </row>
    <row r="5277" spans="1:2" x14ac:dyDescent="0.25">
      <c r="A5277" t="s">
        <v>7824</v>
      </c>
      <c r="B5277">
        <v>451307</v>
      </c>
    </row>
    <row r="5278" spans="1:2" x14ac:dyDescent="0.25">
      <c r="A5278" t="s">
        <v>7825</v>
      </c>
      <c r="B5278">
        <v>154545</v>
      </c>
    </row>
    <row r="5279" spans="1:2" x14ac:dyDescent="0.25">
      <c r="A5279" t="s">
        <v>7826</v>
      </c>
      <c r="B5279">
        <v>459295</v>
      </c>
    </row>
    <row r="5280" spans="1:2" x14ac:dyDescent="0.25">
      <c r="A5280" t="s">
        <v>7827</v>
      </c>
      <c r="B5280">
        <v>492360</v>
      </c>
    </row>
    <row r="5281" spans="1:2" x14ac:dyDescent="0.25">
      <c r="A5281" t="s">
        <v>7828</v>
      </c>
      <c r="B5281">
        <v>459392</v>
      </c>
    </row>
    <row r="5282" spans="1:2" x14ac:dyDescent="0.25">
      <c r="A5282" t="s">
        <v>7829</v>
      </c>
      <c r="B5282">
        <v>448026</v>
      </c>
    </row>
    <row r="5283" spans="1:2" x14ac:dyDescent="0.25">
      <c r="A5283" t="s">
        <v>7830</v>
      </c>
      <c r="B5283">
        <v>459347</v>
      </c>
    </row>
    <row r="5284" spans="1:2" x14ac:dyDescent="0.25">
      <c r="A5284" t="s">
        <v>7831</v>
      </c>
      <c r="B5284">
        <v>491996</v>
      </c>
    </row>
    <row r="5285" spans="1:2" x14ac:dyDescent="0.25">
      <c r="A5285" t="s">
        <v>7832</v>
      </c>
      <c r="B5285">
        <v>126164</v>
      </c>
    </row>
    <row r="5286" spans="1:2" x14ac:dyDescent="0.25">
      <c r="A5286" t="s">
        <v>7833</v>
      </c>
      <c r="B5286">
        <v>480976</v>
      </c>
    </row>
    <row r="5287" spans="1:2" x14ac:dyDescent="0.25">
      <c r="A5287" t="s">
        <v>7834</v>
      </c>
      <c r="B5287">
        <v>461908</v>
      </c>
    </row>
    <row r="5288" spans="1:2" x14ac:dyDescent="0.25">
      <c r="A5288" t="s">
        <v>7835</v>
      </c>
      <c r="B5288">
        <v>458098</v>
      </c>
    </row>
    <row r="5289" spans="1:2" x14ac:dyDescent="0.25">
      <c r="A5289" t="s">
        <v>7836</v>
      </c>
      <c r="B5289">
        <v>385132</v>
      </c>
    </row>
    <row r="5290" spans="1:2" x14ac:dyDescent="0.25">
      <c r="A5290" t="s">
        <v>7837</v>
      </c>
      <c r="B5290">
        <v>247047</v>
      </c>
    </row>
    <row r="5291" spans="1:2" x14ac:dyDescent="0.25">
      <c r="A5291" t="s">
        <v>7838</v>
      </c>
      <c r="B5291">
        <v>481340</v>
      </c>
    </row>
    <row r="5292" spans="1:2" x14ac:dyDescent="0.25">
      <c r="A5292" t="s">
        <v>7839</v>
      </c>
      <c r="B5292">
        <v>460987</v>
      </c>
    </row>
    <row r="5293" spans="1:2" x14ac:dyDescent="0.25">
      <c r="A5293" t="s">
        <v>7840</v>
      </c>
      <c r="B5293">
        <v>458168</v>
      </c>
    </row>
    <row r="5294" spans="1:2" x14ac:dyDescent="0.25">
      <c r="A5294" t="s">
        <v>7841</v>
      </c>
      <c r="B5294">
        <v>484206</v>
      </c>
    </row>
    <row r="5295" spans="1:2" x14ac:dyDescent="0.25">
      <c r="A5295" t="s">
        <v>7842</v>
      </c>
      <c r="B5295">
        <v>460996</v>
      </c>
    </row>
    <row r="5296" spans="1:2" x14ac:dyDescent="0.25">
      <c r="A5296" t="s">
        <v>7843</v>
      </c>
      <c r="B5296">
        <v>457837</v>
      </c>
    </row>
    <row r="5297" spans="1:2" x14ac:dyDescent="0.25">
      <c r="A5297" t="s">
        <v>7844</v>
      </c>
      <c r="B5297">
        <v>494232</v>
      </c>
    </row>
    <row r="5298" spans="1:2" x14ac:dyDescent="0.25">
      <c r="A5298" t="s">
        <v>7845</v>
      </c>
      <c r="B5298">
        <v>475228</v>
      </c>
    </row>
    <row r="5299" spans="1:2" x14ac:dyDescent="0.25">
      <c r="A5299" t="s">
        <v>7846</v>
      </c>
      <c r="B5299">
        <v>125037</v>
      </c>
    </row>
    <row r="5300" spans="1:2" x14ac:dyDescent="0.25">
      <c r="A5300" t="s">
        <v>7847</v>
      </c>
      <c r="B5300">
        <v>104665</v>
      </c>
    </row>
    <row r="5301" spans="1:2" x14ac:dyDescent="0.25">
      <c r="A5301" t="s">
        <v>7848</v>
      </c>
      <c r="B5301">
        <v>441131</v>
      </c>
    </row>
    <row r="5302" spans="1:2" x14ac:dyDescent="0.25">
      <c r="A5302" t="s">
        <v>7849</v>
      </c>
      <c r="B5302">
        <v>157748</v>
      </c>
    </row>
    <row r="5303" spans="1:2" x14ac:dyDescent="0.25">
      <c r="A5303" t="s">
        <v>7850</v>
      </c>
      <c r="B5303">
        <v>204769</v>
      </c>
    </row>
    <row r="5304" spans="1:2" x14ac:dyDescent="0.25">
      <c r="A5304" t="s">
        <v>7851</v>
      </c>
      <c r="B5304">
        <v>487676</v>
      </c>
    </row>
    <row r="5305" spans="1:2" x14ac:dyDescent="0.25">
      <c r="A5305" t="s">
        <v>7852</v>
      </c>
      <c r="B5305">
        <v>455901</v>
      </c>
    </row>
    <row r="5306" spans="1:2" x14ac:dyDescent="0.25">
      <c r="A5306" t="s">
        <v>7853</v>
      </c>
      <c r="B5306">
        <v>454962</v>
      </c>
    </row>
    <row r="5307" spans="1:2" x14ac:dyDescent="0.25">
      <c r="A5307" t="s">
        <v>7854</v>
      </c>
      <c r="B5307">
        <v>100751</v>
      </c>
    </row>
    <row r="5308" spans="1:2" x14ac:dyDescent="0.25">
      <c r="A5308" t="s">
        <v>7855</v>
      </c>
      <c r="B5308">
        <v>475237</v>
      </c>
    </row>
    <row r="5309" spans="1:2" x14ac:dyDescent="0.25">
      <c r="A5309" t="s">
        <v>7856</v>
      </c>
      <c r="B5309">
        <v>202763</v>
      </c>
    </row>
    <row r="5310" spans="1:2" x14ac:dyDescent="0.25">
      <c r="A5310" t="s">
        <v>7857</v>
      </c>
      <c r="B5310">
        <v>180489</v>
      </c>
    </row>
    <row r="5311" spans="1:2" x14ac:dyDescent="0.25">
      <c r="A5311" t="s">
        <v>7858</v>
      </c>
      <c r="B5311">
        <v>180692</v>
      </c>
    </row>
    <row r="5312" spans="1:2" x14ac:dyDescent="0.25">
      <c r="A5312" t="s">
        <v>7859</v>
      </c>
      <c r="B5312">
        <v>137847</v>
      </c>
    </row>
    <row r="5313" spans="1:2" x14ac:dyDescent="0.25">
      <c r="A5313" t="s">
        <v>7860</v>
      </c>
      <c r="B5313">
        <v>487010</v>
      </c>
    </row>
    <row r="5314" spans="1:2" x14ac:dyDescent="0.25">
      <c r="A5314" t="s">
        <v>7861</v>
      </c>
      <c r="B5314">
        <v>220701</v>
      </c>
    </row>
    <row r="5315" spans="1:2" x14ac:dyDescent="0.25">
      <c r="A5315" t="s">
        <v>7862</v>
      </c>
      <c r="B5315">
        <v>492263</v>
      </c>
    </row>
    <row r="5316" spans="1:2" x14ac:dyDescent="0.25">
      <c r="A5316" t="s">
        <v>7863</v>
      </c>
      <c r="B5316">
        <v>221740</v>
      </c>
    </row>
    <row r="5317" spans="1:2" x14ac:dyDescent="0.25">
      <c r="A5317" t="s">
        <v>7864</v>
      </c>
      <c r="B5317">
        <v>221759</v>
      </c>
    </row>
    <row r="5318" spans="1:2" x14ac:dyDescent="0.25">
      <c r="A5318" t="s">
        <v>7865</v>
      </c>
      <c r="B5318">
        <v>221768</v>
      </c>
    </row>
    <row r="5319" spans="1:2" x14ac:dyDescent="0.25">
      <c r="A5319" t="s">
        <v>7866</v>
      </c>
      <c r="B5319">
        <v>228769</v>
      </c>
    </row>
    <row r="5320" spans="1:2" x14ac:dyDescent="0.25">
      <c r="A5320" t="s">
        <v>7867</v>
      </c>
      <c r="B5320">
        <v>228778</v>
      </c>
    </row>
    <row r="5321" spans="1:2" x14ac:dyDescent="0.25">
      <c r="A5321" t="s">
        <v>7868</v>
      </c>
      <c r="B5321">
        <v>228787</v>
      </c>
    </row>
    <row r="5322" spans="1:2" x14ac:dyDescent="0.25">
      <c r="A5322" t="s">
        <v>7869</v>
      </c>
      <c r="B5322">
        <v>228796</v>
      </c>
    </row>
    <row r="5323" spans="1:2" x14ac:dyDescent="0.25">
      <c r="A5323" t="s">
        <v>7870</v>
      </c>
      <c r="B5323">
        <v>229027</v>
      </c>
    </row>
    <row r="5324" spans="1:2" x14ac:dyDescent="0.25">
      <c r="A5324" t="s">
        <v>7871</v>
      </c>
      <c r="B5324">
        <v>228802</v>
      </c>
    </row>
    <row r="5325" spans="1:2" x14ac:dyDescent="0.25">
      <c r="A5325" t="s">
        <v>7872</v>
      </c>
      <c r="B5325">
        <v>229300</v>
      </c>
    </row>
    <row r="5326" spans="1:2" x14ac:dyDescent="0.25">
      <c r="A5326" t="s">
        <v>7873</v>
      </c>
      <c r="B5326">
        <v>228644</v>
      </c>
    </row>
    <row r="5327" spans="1:2" x14ac:dyDescent="0.25">
      <c r="A5327" t="s">
        <v>7874</v>
      </c>
      <c r="B5327">
        <v>416801</v>
      </c>
    </row>
    <row r="5328" spans="1:2" x14ac:dyDescent="0.25">
      <c r="A5328" t="s">
        <v>7875</v>
      </c>
      <c r="B5328">
        <v>228653</v>
      </c>
    </row>
    <row r="5329" spans="1:2" x14ac:dyDescent="0.25">
      <c r="A5329" t="s">
        <v>7876</v>
      </c>
      <c r="B5329">
        <v>229018</v>
      </c>
    </row>
    <row r="5330" spans="1:2" x14ac:dyDescent="0.25">
      <c r="A5330" t="s">
        <v>7877</v>
      </c>
      <c r="B5330">
        <v>227368</v>
      </c>
    </row>
    <row r="5331" spans="1:2" x14ac:dyDescent="0.25">
      <c r="A5331" t="s">
        <v>7878</v>
      </c>
      <c r="B5331">
        <v>229090</v>
      </c>
    </row>
    <row r="5332" spans="1:2" x14ac:dyDescent="0.25">
      <c r="A5332" t="s">
        <v>7879</v>
      </c>
      <c r="B5332">
        <v>215105</v>
      </c>
    </row>
    <row r="5333" spans="1:2" x14ac:dyDescent="0.25">
      <c r="A5333" t="s">
        <v>7880</v>
      </c>
      <c r="B5333">
        <v>221519</v>
      </c>
    </row>
    <row r="5334" spans="1:2" x14ac:dyDescent="0.25">
      <c r="A5334" t="s">
        <v>7881</v>
      </c>
      <c r="B5334">
        <v>138354</v>
      </c>
    </row>
    <row r="5335" spans="1:2" x14ac:dyDescent="0.25">
      <c r="A5335" t="s">
        <v>7882</v>
      </c>
      <c r="B5335">
        <v>485360</v>
      </c>
    </row>
    <row r="5336" spans="1:2" x14ac:dyDescent="0.25">
      <c r="A5336" t="s">
        <v>7883</v>
      </c>
      <c r="B5336">
        <v>126012</v>
      </c>
    </row>
    <row r="5337" spans="1:2" x14ac:dyDescent="0.25">
      <c r="A5337" t="s">
        <v>7884</v>
      </c>
      <c r="B5337">
        <v>486123</v>
      </c>
    </row>
    <row r="5338" spans="1:2" x14ac:dyDescent="0.25">
      <c r="A5338" t="s">
        <v>7885</v>
      </c>
      <c r="B5338">
        <v>216348</v>
      </c>
    </row>
    <row r="5339" spans="1:2" x14ac:dyDescent="0.25">
      <c r="A5339" t="s">
        <v>7886</v>
      </c>
      <c r="B5339">
        <v>216357</v>
      </c>
    </row>
    <row r="5340" spans="1:2" x14ac:dyDescent="0.25">
      <c r="A5340" t="s">
        <v>7887</v>
      </c>
      <c r="B5340">
        <v>124292</v>
      </c>
    </row>
    <row r="5341" spans="1:2" x14ac:dyDescent="0.25">
      <c r="A5341" t="s">
        <v>7888</v>
      </c>
      <c r="B5341">
        <v>161563</v>
      </c>
    </row>
    <row r="5342" spans="1:2" x14ac:dyDescent="0.25">
      <c r="A5342" t="s">
        <v>7889</v>
      </c>
      <c r="B5342">
        <v>187046</v>
      </c>
    </row>
    <row r="5343" spans="1:2" x14ac:dyDescent="0.25">
      <c r="A5343" t="s">
        <v>7890</v>
      </c>
      <c r="B5343">
        <v>126049</v>
      </c>
    </row>
    <row r="5344" spans="1:2" x14ac:dyDescent="0.25">
      <c r="A5344" t="s">
        <v>7891</v>
      </c>
      <c r="B5344">
        <v>216366</v>
      </c>
    </row>
    <row r="5345" spans="1:2" x14ac:dyDescent="0.25">
      <c r="A5345" t="s">
        <v>7892</v>
      </c>
      <c r="B5345">
        <v>183275</v>
      </c>
    </row>
    <row r="5346" spans="1:2" x14ac:dyDescent="0.25">
      <c r="A5346" t="s">
        <v>7893</v>
      </c>
      <c r="B5346">
        <v>157809</v>
      </c>
    </row>
    <row r="5347" spans="1:2" x14ac:dyDescent="0.25">
      <c r="A5347" t="s">
        <v>7894</v>
      </c>
      <c r="B5347">
        <v>141167</v>
      </c>
    </row>
    <row r="5348" spans="1:2" x14ac:dyDescent="0.25">
      <c r="A5348" t="s">
        <v>7895</v>
      </c>
      <c r="B5348">
        <v>179645</v>
      </c>
    </row>
    <row r="5349" spans="1:2" x14ac:dyDescent="0.25">
      <c r="A5349" t="s">
        <v>7896</v>
      </c>
      <c r="B5349">
        <v>129808</v>
      </c>
    </row>
    <row r="5350" spans="1:2" x14ac:dyDescent="0.25">
      <c r="A5350" t="s">
        <v>7897</v>
      </c>
      <c r="B5350">
        <v>233772</v>
      </c>
    </row>
    <row r="5351" spans="1:2" x14ac:dyDescent="0.25">
      <c r="A5351" t="s">
        <v>7898</v>
      </c>
      <c r="B5351">
        <v>232919</v>
      </c>
    </row>
    <row r="5352" spans="1:2" x14ac:dyDescent="0.25">
      <c r="A5352" t="s">
        <v>7899</v>
      </c>
      <c r="B5352">
        <v>206039</v>
      </c>
    </row>
    <row r="5353" spans="1:2" x14ac:dyDescent="0.25">
      <c r="A5353" t="s">
        <v>7900</v>
      </c>
      <c r="B5353">
        <v>206048</v>
      </c>
    </row>
    <row r="5354" spans="1:2" x14ac:dyDescent="0.25">
      <c r="A5354" t="s">
        <v>7901</v>
      </c>
      <c r="B5354">
        <v>457332</v>
      </c>
    </row>
    <row r="5355" spans="1:2" x14ac:dyDescent="0.25">
      <c r="A5355" t="s">
        <v>7902</v>
      </c>
      <c r="B5355">
        <v>443289</v>
      </c>
    </row>
    <row r="5356" spans="1:2" x14ac:dyDescent="0.25">
      <c r="A5356" t="s">
        <v>7903</v>
      </c>
      <c r="B5356">
        <v>420723</v>
      </c>
    </row>
    <row r="5357" spans="1:2" x14ac:dyDescent="0.25">
      <c r="A5357" t="s">
        <v>7904</v>
      </c>
      <c r="B5357">
        <v>227058</v>
      </c>
    </row>
    <row r="5358" spans="1:2" x14ac:dyDescent="0.25">
      <c r="A5358" t="s">
        <v>7905</v>
      </c>
      <c r="B5358">
        <v>484826</v>
      </c>
    </row>
    <row r="5359" spans="1:2" x14ac:dyDescent="0.25">
      <c r="A5359" t="s">
        <v>7906</v>
      </c>
      <c r="B5359">
        <v>418968</v>
      </c>
    </row>
    <row r="5360" spans="1:2" x14ac:dyDescent="0.25">
      <c r="A5360" t="s">
        <v>7907</v>
      </c>
      <c r="B5360">
        <v>141185</v>
      </c>
    </row>
    <row r="5361" spans="1:2" x14ac:dyDescent="0.25">
      <c r="A5361" t="s">
        <v>8837</v>
      </c>
      <c r="B5361">
        <v>442781</v>
      </c>
    </row>
    <row r="5362" spans="1:2" x14ac:dyDescent="0.25">
      <c r="A5362" t="s">
        <v>7909</v>
      </c>
      <c r="B5362">
        <v>375540</v>
      </c>
    </row>
    <row r="5363" spans="1:2" x14ac:dyDescent="0.25">
      <c r="A5363" t="s">
        <v>7910</v>
      </c>
      <c r="B5363">
        <v>204459</v>
      </c>
    </row>
    <row r="5364" spans="1:2" x14ac:dyDescent="0.25">
      <c r="A5364" t="s">
        <v>7911</v>
      </c>
      <c r="B5364">
        <v>137865</v>
      </c>
    </row>
    <row r="5365" spans="1:2" x14ac:dyDescent="0.25">
      <c r="A5365" t="s">
        <v>7912</v>
      </c>
      <c r="B5365">
        <v>476568</v>
      </c>
    </row>
    <row r="5366" spans="1:2" x14ac:dyDescent="0.25">
      <c r="A5366" t="s">
        <v>7913</v>
      </c>
      <c r="B5366">
        <v>196565</v>
      </c>
    </row>
    <row r="5367" spans="1:2" x14ac:dyDescent="0.25">
      <c r="A5367" t="s">
        <v>7914</v>
      </c>
      <c r="B5367">
        <v>457776</v>
      </c>
    </row>
    <row r="5368" spans="1:2" x14ac:dyDescent="0.25">
      <c r="A5368" t="s">
        <v>7915</v>
      </c>
      <c r="B5368">
        <v>413945</v>
      </c>
    </row>
    <row r="5369" spans="1:2" x14ac:dyDescent="0.25">
      <c r="A5369" t="s">
        <v>7916</v>
      </c>
      <c r="B5369">
        <v>455965</v>
      </c>
    </row>
    <row r="5370" spans="1:2" x14ac:dyDescent="0.25">
      <c r="A5370" t="s">
        <v>7917</v>
      </c>
      <c r="B5370">
        <v>492397</v>
      </c>
    </row>
    <row r="5371" spans="1:2" x14ac:dyDescent="0.25">
      <c r="A5371" t="s">
        <v>7918</v>
      </c>
      <c r="B5371">
        <v>436775</v>
      </c>
    </row>
    <row r="5372" spans="1:2" x14ac:dyDescent="0.25">
      <c r="A5372" t="s">
        <v>7919</v>
      </c>
      <c r="B5372">
        <v>493372</v>
      </c>
    </row>
    <row r="5373" spans="1:2" x14ac:dyDescent="0.25">
      <c r="A5373" t="s">
        <v>7920</v>
      </c>
      <c r="B5373">
        <v>235352</v>
      </c>
    </row>
    <row r="5374" spans="1:2" x14ac:dyDescent="0.25">
      <c r="A5374" t="s">
        <v>7921</v>
      </c>
      <c r="B5374">
        <v>434344</v>
      </c>
    </row>
    <row r="5375" spans="1:2" x14ac:dyDescent="0.25">
      <c r="A5375" t="s">
        <v>7922</v>
      </c>
      <c r="B5375">
        <v>494719</v>
      </c>
    </row>
    <row r="5376" spans="1:2" x14ac:dyDescent="0.25">
      <c r="A5376" t="s">
        <v>7923</v>
      </c>
      <c r="B5376">
        <v>475723</v>
      </c>
    </row>
    <row r="5377" spans="1:2" x14ac:dyDescent="0.25">
      <c r="A5377" t="s">
        <v>7924</v>
      </c>
      <c r="B5377">
        <v>481100</v>
      </c>
    </row>
    <row r="5378" spans="1:2" x14ac:dyDescent="0.25">
      <c r="A5378" t="s">
        <v>7925</v>
      </c>
      <c r="B5378">
        <v>487807</v>
      </c>
    </row>
    <row r="5379" spans="1:2" x14ac:dyDescent="0.25">
      <c r="A5379" t="s">
        <v>7926</v>
      </c>
      <c r="B5379">
        <v>196583</v>
      </c>
    </row>
    <row r="5380" spans="1:2" x14ac:dyDescent="0.25">
      <c r="A5380" t="s">
        <v>7927</v>
      </c>
      <c r="B5380">
        <v>495235</v>
      </c>
    </row>
    <row r="5381" spans="1:2" x14ac:dyDescent="0.25">
      <c r="A5381" t="s">
        <v>7928</v>
      </c>
      <c r="B5381">
        <v>455187</v>
      </c>
    </row>
    <row r="5382" spans="1:2" x14ac:dyDescent="0.25">
      <c r="A5382" t="s">
        <v>7929</v>
      </c>
      <c r="B5382">
        <v>483735</v>
      </c>
    </row>
    <row r="5383" spans="1:2" x14ac:dyDescent="0.25">
      <c r="A5383" t="s">
        <v>7930</v>
      </c>
      <c r="B5383">
        <v>488828</v>
      </c>
    </row>
    <row r="5384" spans="1:2" x14ac:dyDescent="0.25">
      <c r="A5384" t="s">
        <v>7931</v>
      </c>
      <c r="B5384">
        <v>176406</v>
      </c>
    </row>
    <row r="5385" spans="1:2" x14ac:dyDescent="0.25">
      <c r="A5385" t="s">
        <v>7932</v>
      </c>
      <c r="B5385">
        <v>196592</v>
      </c>
    </row>
    <row r="5386" spans="1:2" x14ac:dyDescent="0.25">
      <c r="A5386" t="s">
        <v>7933</v>
      </c>
      <c r="B5386">
        <v>459736</v>
      </c>
    </row>
    <row r="5387" spans="1:2" x14ac:dyDescent="0.25">
      <c r="A5387" t="s">
        <v>7934</v>
      </c>
      <c r="B5387">
        <v>459824</v>
      </c>
    </row>
    <row r="5388" spans="1:2" x14ac:dyDescent="0.25">
      <c r="A5388" t="s">
        <v>7935</v>
      </c>
      <c r="B5388">
        <v>459727</v>
      </c>
    </row>
    <row r="5389" spans="1:2" x14ac:dyDescent="0.25">
      <c r="A5389" t="s">
        <v>7936</v>
      </c>
      <c r="B5389">
        <v>164076</v>
      </c>
    </row>
    <row r="5390" spans="1:2" x14ac:dyDescent="0.25">
      <c r="A5390" t="s">
        <v>7937</v>
      </c>
      <c r="B5390">
        <v>445054</v>
      </c>
    </row>
    <row r="5391" spans="1:2" x14ac:dyDescent="0.25">
      <c r="A5391" t="s">
        <v>7938</v>
      </c>
      <c r="B5391">
        <v>491774</v>
      </c>
    </row>
    <row r="5392" spans="1:2" x14ac:dyDescent="0.25">
      <c r="A5392" t="s">
        <v>7939</v>
      </c>
      <c r="B5392">
        <v>157818</v>
      </c>
    </row>
    <row r="5393" spans="1:2" x14ac:dyDescent="0.25">
      <c r="A5393" t="s">
        <v>7940</v>
      </c>
      <c r="B5393">
        <v>135522</v>
      </c>
    </row>
    <row r="5394" spans="1:2" x14ac:dyDescent="0.25">
      <c r="A5394" t="s">
        <v>7941</v>
      </c>
      <c r="B5394">
        <v>245281</v>
      </c>
    </row>
    <row r="5395" spans="1:2" x14ac:dyDescent="0.25">
      <c r="A5395" t="s">
        <v>7942</v>
      </c>
      <c r="B5395">
        <v>486150</v>
      </c>
    </row>
    <row r="5396" spans="1:2" x14ac:dyDescent="0.25">
      <c r="A5396" t="s">
        <v>7943</v>
      </c>
      <c r="B5396">
        <v>210234</v>
      </c>
    </row>
    <row r="5397" spans="1:2" x14ac:dyDescent="0.25">
      <c r="A5397" t="s">
        <v>7944</v>
      </c>
      <c r="B5397">
        <v>443298</v>
      </c>
    </row>
    <row r="5398" spans="1:2" x14ac:dyDescent="0.25">
      <c r="A5398" t="s">
        <v>7944</v>
      </c>
      <c r="B5398">
        <v>450711</v>
      </c>
    </row>
    <row r="5399" spans="1:2" x14ac:dyDescent="0.25">
      <c r="A5399" t="s">
        <v>7945</v>
      </c>
      <c r="B5399">
        <v>451316</v>
      </c>
    </row>
    <row r="5400" spans="1:2" x14ac:dyDescent="0.25">
      <c r="A5400" t="s">
        <v>7946</v>
      </c>
      <c r="B5400">
        <v>447865</v>
      </c>
    </row>
    <row r="5401" spans="1:2" x14ac:dyDescent="0.25">
      <c r="A5401" t="s">
        <v>7947</v>
      </c>
      <c r="B5401">
        <v>482167</v>
      </c>
    </row>
    <row r="5402" spans="1:2" x14ac:dyDescent="0.25">
      <c r="A5402" t="s">
        <v>7948</v>
      </c>
      <c r="B5402">
        <v>221892</v>
      </c>
    </row>
    <row r="5403" spans="1:2" x14ac:dyDescent="0.25">
      <c r="A5403" t="s">
        <v>7949</v>
      </c>
      <c r="B5403">
        <v>459408</v>
      </c>
    </row>
    <row r="5404" spans="1:2" x14ac:dyDescent="0.25">
      <c r="A5404" t="s">
        <v>7950</v>
      </c>
      <c r="B5404">
        <v>441229</v>
      </c>
    </row>
    <row r="5405" spans="1:2" x14ac:dyDescent="0.25">
      <c r="A5405" t="s">
        <v>7951</v>
      </c>
      <c r="B5405">
        <v>448859</v>
      </c>
    </row>
    <row r="5406" spans="1:2" x14ac:dyDescent="0.25">
      <c r="A5406" t="s">
        <v>7952</v>
      </c>
      <c r="B5406">
        <v>216454</v>
      </c>
    </row>
    <row r="5407" spans="1:2" x14ac:dyDescent="0.25">
      <c r="A5407" t="s">
        <v>7953</v>
      </c>
      <c r="B5407">
        <v>216445</v>
      </c>
    </row>
    <row r="5408" spans="1:2" x14ac:dyDescent="0.25">
      <c r="A5408" t="s">
        <v>7954</v>
      </c>
      <c r="B5408">
        <v>216436</v>
      </c>
    </row>
    <row r="5409" spans="1:2" x14ac:dyDescent="0.25">
      <c r="A5409" t="s">
        <v>7955</v>
      </c>
      <c r="B5409">
        <v>443377</v>
      </c>
    </row>
    <row r="5410" spans="1:2" x14ac:dyDescent="0.25">
      <c r="A5410" t="s">
        <v>7956</v>
      </c>
      <c r="B5410">
        <v>496265</v>
      </c>
    </row>
    <row r="5411" spans="1:2" x14ac:dyDescent="0.25">
      <c r="A5411" t="s">
        <v>7957</v>
      </c>
      <c r="B5411">
        <v>144573</v>
      </c>
    </row>
    <row r="5412" spans="1:2" x14ac:dyDescent="0.25">
      <c r="A5412" t="s">
        <v>7958</v>
      </c>
      <c r="B5412">
        <v>367088</v>
      </c>
    </row>
    <row r="5413" spans="1:2" x14ac:dyDescent="0.25">
      <c r="A5413" t="s">
        <v>7959</v>
      </c>
      <c r="B5413">
        <v>455895</v>
      </c>
    </row>
    <row r="5414" spans="1:2" x14ac:dyDescent="0.25">
      <c r="A5414" t="s">
        <v>7960</v>
      </c>
      <c r="B5414">
        <v>470393</v>
      </c>
    </row>
    <row r="5415" spans="1:2" x14ac:dyDescent="0.25">
      <c r="A5415" t="s">
        <v>7961</v>
      </c>
      <c r="B5415">
        <v>454971</v>
      </c>
    </row>
    <row r="5416" spans="1:2" x14ac:dyDescent="0.25">
      <c r="A5416" t="s">
        <v>7962</v>
      </c>
      <c r="B5416">
        <v>487533</v>
      </c>
    </row>
    <row r="5417" spans="1:2" x14ac:dyDescent="0.25">
      <c r="A5417" t="s">
        <v>7963</v>
      </c>
      <c r="B5417">
        <v>454980</v>
      </c>
    </row>
    <row r="5418" spans="1:2" x14ac:dyDescent="0.25">
      <c r="A5418" t="s">
        <v>7964</v>
      </c>
      <c r="B5418">
        <v>150303</v>
      </c>
    </row>
    <row r="5419" spans="1:2" x14ac:dyDescent="0.25">
      <c r="A5419" t="s">
        <v>7965</v>
      </c>
      <c r="B5419">
        <v>414869</v>
      </c>
    </row>
    <row r="5420" spans="1:2" x14ac:dyDescent="0.25">
      <c r="A5420" t="s">
        <v>7966</v>
      </c>
      <c r="B5420">
        <v>491224</v>
      </c>
    </row>
    <row r="5421" spans="1:2" x14ac:dyDescent="0.25">
      <c r="A5421" t="s">
        <v>7967</v>
      </c>
      <c r="B5421">
        <v>151607</v>
      </c>
    </row>
    <row r="5422" spans="1:2" x14ac:dyDescent="0.25">
      <c r="A5422" t="s">
        <v>7968</v>
      </c>
      <c r="B5422">
        <v>455886</v>
      </c>
    </row>
    <row r="5423" spans="1:2" x14ac:dyDescent="0.25">
      <c r="A5423" t="s">
        <v>7969</v>
      </c>
      <c r="B5423">
        <v>495730</v>
      </c>
    </row>
    <row r="5424" spans="1:2" x14ac:dyDescent="0.25">
      <c r="A5424" t="s">
        <v>7970</v>
      </c>
      <c r="B5424">
        <v>454999</v>
      </c>
    </row>
    <row r="5425" spans="1:2" x14ac:dyDescent="0.25">
      <c r="A5425" t="s">
        <v>7971</v>
      </c>
      <c r="B5425">
        <v>455008</v>
      </c>
    </row>
    <row r="5426" spans="1:2" x14ac:dyDescent="0.25">
      <c r="A5426" t="s">
        <v>7972</v>
      </c>
      <c r="B5426">
        <v>484233</v>
      </c>
    </row>
    <row r="5427" spans="1:2" x14ac:dyDescent="0.25">
      <c r="A5427" t="s">
        <v>7973</v>
      </c>
      <c r="B5427">
        <v>206172</v>
      </c>
    </row>
    <row r="5428" spans="1:2" x14ac:dyDescent="0.25">
      <c r="A5428" t="s">
        <v>7974</v>
      </c>
      <c r="B5428">
        <v>149499</v>
      </c>
    </row>
    <row r="5429" spans="1:2" x14ac:dyDescent="0.25">
      <c r="A5429" t="s">
        <v>7975</v>
      </c>
      <c r="B5429">
        <v>199795</v>
      </c>
    </row>
    <row r="5430" spans="1:2" x14ac:dyDescent="0.25">
      <c r="A5430" t="s">
        <v>7976</v>
      </c>
      <c r="B5430">
        <v>218885</v>
      </c>
    </row>
    <row r="5431" spans="1:2" x14ac:dyDescent="0.25">
      <c r="A5431" t="s">
        <v>7977</v>
      </c>
      <c r="B5431">
        <v>218894</v>
      </c>
    </row>
    <row r="5432" spans="1:2" x14ac:dyDescent="0.25">
      <c r="A5432" t="s">
        <v>7978</v>
      </c>
      <c r="B5432">
        <v>152567</v>
      </c>
    </row>
    <row r="5433" spans="1:2" x14ac:dyDescent="0.25">
      <c r="A5433" t="s">
        <v>7979</v>
      </c>
      <c r="B5433">
        <v>414878</v>
      </c>
    </row>
    <row r="5434" spans="1:2" x14ac:dyDescent="0.25">
      <c r="A5434" t="s">
        <v>7980</v>
      </c>
      <c r="B5434">
        <v>128258</v>
      </c>
    </row>
    <row r="5435" spans="1:2" x14ac:dyDescent="0.25">
      <c r="A5435" t="s">
        <v>7981</v>
      </c>
      <c r="B5435">
        <v>137953</v>
      </c>
    </row>
    <row r="5436" spans="1:2" x14ac:dyDescent="0.25">
      <c r="A5436" t="s">
        <v>7982</v>
      </c>
      <c r="B5436">
        <v>200484</v>
      </c>
    </row>
    <row r="5437" spans="1:2" x14ac:dyDescent="0.25">
      <c r="A5437" t="s">
        <v>7983</v>
      </c>
      <c r="B5437">
        <v>149505</v>
      </c>
    </row>
    <row r="5438" spans="1:2" x14ac:dyDescent="0.25">
      <c r="A5438" t="s">
        <v>7984</v>
      </c>
      <c r="B5438">
        <v>130590</v>
      </c>
    </row>
    <row r="5439" spans="1:2" x14ac:dyDescent="0.25">
      <c r="A5439" t="s">
        <v>7985</v>
      </c>
      <c r="B5439">
        <v>137962</v>
      </c>
    </row>
    <row r="5440" spans="1:2" x14ac:dyDescent="0.25">
      <c r="A5440" t="s">
        <v>7986</v>
      </c>
      <c r="B5440">
        <v>146755</v>
      </c>
    </row>
    <row r="5441" spans="1:2" x14ac:dyDescent="0.25">
      <c r="A5441" t="s">
        <v>7987</v>
      </c>
      <c r="B5441">
        <v>431929</v>
      </c>
    </row>
    <row r="5442" spans="1:2" x14ac:dyDescent="0.25">
      <c r="A5442" t="s">
        <v>7988</v>
      </c>
      <c r="B5442">
        <v>216463</v>
      </c>
    </row>
    <row r="5443" spans="1:2" x14ac:dyDescent="0.25">
      <c r="A5443" t="s">
        <v>7989</v>
      </c>
      <c r="B5443">
        <v>204893</v>
      </c>
    </row>
    <row r="5444" spans="1:2" x14ac:dyDescent="0.25">
      <c r="A5444" t="s">
        <v>7990</v>
      </c>
      <c r="B5444">
        <v>135610</v>
      </c>
    </row>
    <row r="5445" spans="1:2" x14ac:dyDescent="0.25">
      <c r="A5445" t="s">
        <v>7991</v>
      </c>
      <c r="B5445">
        <v>149514</v>
      </c>
    </row>
    <row r="5446" spans="1:2" x14ac:dyDescent="0.25">
      <c r="A5446" t="s">
        <v>7992</v>
      </c>
      <c r="B5446">
        <v>123448</v>
      </c>
    </row>
    <row r="5447" spans="1:2" x14ac:dyDescent="0.25">
      <c r="A5447" t="s">
        <v>7993</v>
      </c>
      <c r="B5447">
        <v>229267</v>
      </c>
    </row>
    <row r="5448" spans="1:2" x14ac:dyDescent="0.25">
      <c r="A5448" t="s">
        <v>7994</v>
      </c>
      <c r="B5448">
        <v>225308</v>
      </c>
    </row>
    <row r="5449" spans="1:2" x14ac:dyDescent="0.25">
      <c r="A5449" t="s">
        <v>7995</v>
      </c>
      <c r="B5449">
        <v>131876</v>
      </c>
    </row>
    <row r="5450" spans="1:2" x14ac:dyDescent="0.25">
      <c r="A5450" t="s">
        <v>7996</v>
      </c>
      <c r="B5450">
        <v>206181</v>
      </c>
    </row>
    <row r="5451" spans="1:2" x14ac:dyDescent="0.25">
      <c r="A5451" t="s">
        <v>7997</v>
      </c>
      <c r="B5451">
        <v>487913</v>
      </c>
    </row>
    <row r="5452" spans="1:2" x14ac:dyDescent="0.25">
      <c r="A5452" t="s">
        <v>7998</v>
      </c>
      <c r="B5452">
        <v>206154</v>
      </c>
    </row>
    <row r="5453" spans="1:2" x14ac:dyDescent="0.25">
      <c r="A5453" t="s">
        <v>7999</v>
      </c>
      <c r="B5453">
        <v>402800</v>
      </c>
    </row>
    <row r="5454" spans="1:2" x14ac:dyDescent="0.25">
      <c r="A5454" t="s">
        <v>8000</v>
      </c>
      <c r="B5454">
        <v>149532</v>
      </c>
    </row>
    <row r="5455" spans="1:2" x14ac:dyDescent="0.25">
      <c r="A5455" t="s">
        <v>8001</v>
      </c>
      <c r="B5455">
        <v>196653</v>
      </c>
    </row>
    <row r="5456" spans="1:2" x14ac:dyDescent="0.25">
      <c r="A5456" t="s">
        <v>8002</v>
      </c>
      <c r="B5456">
        <v>102368</v>
      </c>
    </row>
    <row r="5457" spans="1:2" x14ac:dyDescent="0.25">
      <c r="A5457" t="s">
        <v>8003</v>
      </c>
      <c r="B5457">
        <v>182500</v>
      </c>
    </row>
    <row r="5458" spans="1:2" x14ac:dyDescent="0.25">
      <c r="A5458" t="s">
        <v>8004</v>
      </c>
      <c r="B5458">
        <v>141237</v>
      </c>
    </row>
    <row r="5459" spans="1:2" x14ac:dyDescent="0.25">
      <c r="A5459" t="s">
        <v>8005</v>
      </c>
      <c r="B5459">
        <v>178615</v>
      </c>
    </row>
    <row r="5460" spans="1:2" x14ac:dyDescent="0.25">
      <c r="A5460" t="s">
        <v>8006</v>
      </c>
      <c r="B5460">
        <v>407595</v>
      </c>
    </row>
    <row r="5461" spans="1:2" x14ac:dyDescent="0.25">
      <c r="A5461" t="s">
        <v>8007</v>
      </c>
      <c r="B5461">
        <v>493910</v>
      </c>
    </row>
    <row r="5462" spans="1:2" x14ac:dyDescent="0.25">
      <c r="A5462" t="s">
        <v>8008</v>
      </c>
      <c r="B5462">
        <v>447704</v>
      </c>
    </row>
    <row r="5463" spans="1:2" x14ac:dyDescent="0.25">
      <c r="A5463" t="s">
        <v>8009</v>
      </c>
      <c r="B5463">
        <v>168148</v>
      </c>
    </row>
    <row r="5464" spans="1:2" x14ac:dyDescent="0.25">
      <c r="A5464" t="s">
        <v>8010</v>
      </c>
      <c r="B5464">
        <v>160755</v>
      </c>
    </row>
    <row r="5465" spans="1:2" x14ac:dyDescent="0.25">
      <c r="A5465" t="s">
        <v>8011</v>
      </c>
      <c r="B5465">
        <v>207935</v>
      </c>
    </row>
    <row r="5466" spans="1:2" x14ac:dyDescent="0.25">
      <c r="A5466" t="s">
        <v>8012</v>
      </c>
      <c r="B5466">
        <v>488934</v>
      </c>
    </row>
    <row r="5467" spans="1:2" x14ac:dyDescent="0.25">
      <c r="A5467" t="s">
        <v>8013</v>
      </c>
      <c r="B5467">
        <v>486798</v>
      </c>
    </row>
    <row r="5468" spans="1:2" x14ac:dyDescent="0.25">
      <c r="A5468" t="s">
        <v>8014</v>
      </c>
      <c r="B5468">
        <v>442329</v>
      </c>
    </row>
    <row r="5469" spans="1:2" x14ac:dyDescent="0.25">
      <c r="A5469" t="s">
        <v>8014</v>
      </c>
      <c r="B5469">
        <v>476063</v>
      </c>
    </row>
    <row r="5470" spans="1:2" x14ac:dyDescent="0.25">
      <c r="A5470" t="s">
        <v>8015</v>
      </c>
      <c r="B5470">
        <v>207962</v>
      </c>
    </row>
    <row r="5471" spans="1:2" x14ac:dyDescent="0.25">
      <c r="A5471" t="s">
        <v>8016</v>
      </c>
      <c r="B5471">
        <v>130606</v>
      </c>
    </row>
    <row r="5472" spans="1:2" x14ac:dyDescent="0.25">
      <c r="A5472" t="s">
        <v>8017</v>
      </c>
      <c r="B5472">
        <v>496593</v>
      </c>
    </row>
    <row r="5473" spans="1:2" x14ac:dyDescent="0.25">
      <c r="A5473" t="s">
        <v>8018</v>
      </c>
      <c r="B5473">
        <v>444936</v>
      </c>
    </row>
    <row r="5474" spans="1:2" x14ac:dyDescent="0.25">
      <c r="A5474" t="s">
        <v>8019</v>
      </c>
      <c r="B5474">
        <v>200527</v>
      </c>
    </row>
    <row r="5475" spans="1:2" x14ac:dyDescent="0.25">
      <c r="A5475" t="s">
        <v>8020</v>
      </c>
      <c r="B5475">
        <v>221953</v>
      </c>
    </row>
    <row r="5476" spans="1:2" x14ac:dyDescent="0.25">
      <c r="A5476" t="s">
        <v>8021</v>
      </c>
      <c r="B5476">
        <v>102377</v>
      </c>
    </row>
    <row r="5477" spans="1:2" x14ac:dyDescent="0.25">
      <c r="A5477" t="s">
        <v>8022</v>
      </c>
      <c r="B5477">
        <v>172495</v>
      </c>
    </row>
    <row r="5478" spans="1:2" x14ac:dyDescent="0.25">
      <c r="A5478" t="s">
        <v>8023</v>
      </c>
      <c r="B5478">
        <v>229355</v>
      </c>
    </row>
    <row r="5479" spans="1:2" x14ac:dyDescent="0.25">
      <c r="A5479" t="s">
        <v>8024</v>
      </c>
      <c r="B5479">
        <v>488837</v>
      </c>
    </row>
    <row r="5480" spans="1:2" x14ac:dyDescent="0.25">
      <c r="A5480" t="s">
        <v>8025</v>
      </c>
      <c r="B5480">
        <v>377193</v>
      </c>
    </row>
    <row r="5481" spans="1:2" x14ac:dyDescent="0.25">
      <c r="A5481" t="s">
        <v>8026</v>
      </c>
      <c r="B5481">
        <v>407683</v>
      </c>
    </row>
    <row r="5482" spans="1:2" x14ac:dyDescent="0.25">
      <c r="A5482" t="s">
        <v>8027</v>
      </c>
      <c r="B5482">
        <v>475662</v>
      </c>
    </row>
    <row r="5483" spans="1:2" x14ac:dyDescent="0.25">
      <c r="A5483" t="s">
        <v>8028</v>
      </c>
      <c r="B5483">
        <v>229425</v>
      </c>
    </row>
    <row r="5484" spans="1:2" x14ac:dyDescent="0.25">
      <c r="A5484" t="s">
        <v>8029</v>
      </c>
      <c r="B5484">
        <v>246415</v>
      </c>
    </row>
    <row r="5485" spans="1:2" x14ac:dyDescent="0.25">
      <c r="A5485" t="s">
        <v>8030</v>
      </c>
      <c r="B5485">
        <v>482291</v>
      </c>
    </row>
    <row r="5486" spans="1:2" x14ac:dyDescent="0.25">
      <c r="A5486" t="s">
        <v>8031</v>
      </c>
      <c r="B5486">
        <v>397942</v>
      </c>
    </row>
    <row r="5487" spans="1:2" x14ac:dyDescent="0.25">
      <c r="A5487" t="s">
        <v>8032</v>
      </c>
      <c r="B5487">
        <v>393649</v>
      </c>
    </row>
    <row r="5488" spans="1:2" x14ac:dyDescent="0.25">
      <c r="A5488" t="s">
        <v>8033</v>
      </c>
      <c r="B5488">
        <v>470038</v>
      </c>
    </row>
    <row r="5489" spans="1:2" x14ac:dyDescent="0.25">
      <c r="A5489" t="s">
        <v>8034</v>
      </c>
      <c r="B5489">
        <v>494357</v>
      </c>
    </row>
    <row r="5490" spans="1:2" x14ac:dyDescent="0.25">
      <c r="A5490" t="s">
        <v>8035</v>
      </c>
      <c r="B5490">
        <v>496919</v>
      </c>
    </row>
    <row r="5491" spans="1:2" x14ac:dyDescent="0.25">
      <c r="A5491" t="s">
        <v>8036</v>
      </c>
      <c r="B5491">
        <v>230676</v>
      </c>
    </row>
    <row r="5492" spans="1:2" x14ac:dyDescent="0.25">
      <c r="A5492" t="s">
        <v>8037</v>
      </c>
      <c r="B5492">
        <v>481182</v>
      </c>
    </row>
    <row r="5493" spans="1:2" x14ac:dyDescent="0.25">
      <c r="A5493" t="s">
        <v>8038</v>
      </c>
      <c r="B5493">
        <v>418056</v>
      </c>
    </row>
    <row r="5494" spans="1:2" x14ac:dyDescent="0.25">
      <c r="A5494" t="s">
        <v>8039</v>
      </c>
      <c r="B5494">
        <v>196699</v>
      </c>
    </row>
    <row r="5495" spans="1:2" x14ac:dyDescent="0.25">
      <c r="A5495" t="s">
        <v>8040</v>
      </c>
      <c r="B5495">
        <v>441371</v>
      </c>
    </row>
    <row r="5496" spans="1:2" x14ac:dyDescent="0.25">
      <c r="A5496" t="s">
        <v>8041</v>
      </c>
      <c r="B5496">
        <v>481252</v>
      </c>
    </row>
    <row r="5497" spans="1:2" x14ac:dyDescent="0.25">
      <c r="A5497" t="s">
        <v>8042</v>
      </c>
      <c r="B5497">
        <v>210270</v>
      </c>
    </row>
    <row r="5498" spans="1:2" x14ac:dyDescent="0.25">
      <c r="A5498" t="s">
        <v>8043</v>
      </c>
      <c r="B5498">
        <v>246789</v>
      </c>
    </row>
    <row r="5499" spans="1:2" x14ac:dyDescent="0.25">
      <c r="A5499" t="s">
        <v>8044</v>
      </c>
      <c r="B5499">
        <v>491525</v>
      </c>
    </row>
    <row r="5500" spans="1:2" x14ac:dyDescent="0.25">
      <c r="A5500" t="s">
        <v>8045</v>
      </c>
      <c r="B5500">
        <v>157863</v>
      </c>
    </row>
    <row r="5501" spans="1:2" x14ac:dyDescent="0.25">
      <c r="A5501" t="s">
        <v>8045</v>
      </c>
      <c r="B5501">
        <v>181738</v>
      </c>
    </row>
    <row r="5502" spans="1:2" x14ac:dyDescent="0.25">
      <c r="A5502" t="s">
        <v>8045</v>
      </c>
      <c r="B5502">
        <v>196866</v>
      </c>
    </row>
    <row r="5503" spans="1:2" x14ac:dyDescent="0.25">
      <c r="A5503" t="s">
        <v>8046</v>
      </c>
      <c r="B5503">
        <v>187198</v>
      </c>
    </row>
    <row r="5504" spans="1:2" x14ac:dyDescent="0.25">
      <c r="A5504" t="s">
        <v>8047</v>
      </c>
      <c r="B5504">
        <v>417831</v>
      </c>
    </row>
    <row r="5505" spans="1:2" x14ac:dyDescent="0.25">
      <c r="A5505" t="s">
        <v>8048</v>
      </c>
      <c r="B5505">
        <v>206279</v>
      </c>
    </row>
    <row r="5506" spans="1:2" x14ac:dyDescent="0.25">
      <c r="A5506" t="s">
        <v>8049</v>
      </c>
      <c r="B5506">
        <v>233842</v>
      </c>
    </row>
    <row r="5507" spans="1:2" x14ac:dyDescent="0.25">
      <c r="A5507" t="s">
        <v>8050</v>
      </c>
      <c r="B5507">
        <v>196884</v>
      </c>
    </row>
    <row r="5508" spans="1:2" x14ac:dyDescent="0.25">
      <c r="A5508" t="s">
        <v>8051</v>
      </c>
      <c r="B5508">
        <v>221971</v>
      </c>
    </row>
    <row r="5509" spans="1:2" x14ac:dyDescent="0.25">
      <c r="A5509" t="s">
        <v>8052</v>
      </c>
      <c r="B5509">
        <v>469911</v>
      </c>
    </row>
    <row r="5510" spans="1:2" x14ac:dyDescent="0.25">
      <c r="A5510" t="s">
        <v>8053</v>
      </c>
      <c r="B5510">
        <v>491084</v>
      </c>
    </row>
    <row r="5511" spans="1:2" x14ac:dyDescent="0.25">
      <c r="A5511" t="s">
        <v>8054</v>
      </c>
      <c r="B5511">
        <v>448646</v>
      </c>
    </row>
    <row r="5512" spans="1:2" x14ac:dyDescent="0.25">
      <c r="A5512" t="s">
        <v>8055</v>
      </c>
      <c r="B5512">
        <v>444945</v>
      </c>
    </row>
    <row r="5513" spans="1:2" x14ac:dyDescent="0.25">
      <c r="A5513" t="s">
        <v>8056</v>
      </c>
      <c r="B5513">
        <v>469920</v>
      </c>
    </row>
    <row r="5514" spans="1:2" x14ac:dyDescent="0.25">
      <c r="A5514" t="s">
        <v>8057</v>
      </c>
      <c r="B5514">
        <v>487047</v>
      </c>
    </row>
    <row r="5515" spans="1:2" x14ac:dyDescent="0.25">
      <c r="A5515" t="s">
        <v>8058</v>
      </c>
      <c r="B5515">
        <v>447467</v>
      </c>
    </row>
    <row r="5516" spans="1:2" x14ac:dyDescent="0.25">
      <c r="A5516" t="s">
        <v>8059</v>
      </c>
      <c r="B5516">
        <v>461810</v>
      </c>
    </row>
    <row r="5517" spans="1:2" x14ac:dyDescent="0.25">
      <c r="A5517" t="s">
        <v>8060</v>
      </c>
      <c r="B5517">
        <v>496511</v>
      </c>
    </row>
    <row r="5518" spans="1:2" x14ac:dyDescent="0.25">
      <c r="A5518" t="s">
        <v>8061</v>
      </c>
      <c r="B5518">
        <v>487481</v>
      </c>
    </row>
    <row r="5519" spans="1:2" x14ac:dyDescent="0.25">
      <c r="A5519" t="s">
        <v>8062</v>
      </c>
      <c r="B5519">
        <v>447607</v>
      </c>
    </row>
    <row r="5520" spans="1:2" x14ac:dyDescent="0.25">
      <c r="A5520" t="s">
        <v>8063</v>
      </c>
      <c r="B5520">
        <v>384245</v>
      </c>
    </row>
    <row r="5521" spans="1:2" x14ac:dyDescent="0.25">
      <c r="A5521" t="s">
        <v>8064</v>
      </c>
      <c r="B5521">
        <v>468909</v>
      </c>
    </row>
    <row r="5522" spans="1:2" x14ac:dyDescent="0.25">
      <c r="A5522" t="s">
        <v>8065</v>
      </c>
      <c r="B5522">
        <v>124681</v>
      </c>
    </row>
    <row r="5523" spans="1:2" x14ac:dyDescent="0.25">
      <c r="A5523" t="s">
        <v>8066</v>
      </c>
      <c r="B5523">
        <v>413893</v>
      </c>
    </row>
    <row r="5524" spans="1:2" x14ac:dyDescent="0.25">
      <c r="A5524" t="s">
        <v>8067</v>
      </c>
      <c r="B5524">
        <v>384236</v>
      </c>
    </row>
    <row r="5525" spans="1:2" x14ac:dyDescent="0.25">
      <c r="A5525" t="s">
        <v>8068</v>
      </c>
      <c r="B5525">
        <v>480471</v>
      </c>
    </row>
    <row r="5526" spans="1:2" x14ac:dyDescent="0.25">
      <c r="A5526" t="s">
        <v>8069</v>
      </c>
      <c r="B5526">
        <v>496955</v>
      </c>
    </row>
    <row r="5527" spans="1:2" x14ac:dyDescent="0.25">
      <c r="A5527" t="s">
        <v>8070</v>
      </c>
      <c r="B5527">
        <v>468848</v>
      </c>
    </row>
    <row r="5528" spans="1:2" x14ac:dyDescent="0.25">
      <c r="A5528" t="s">
        <v>8071</v>
      </c>
      <c r="B5528">
        <v>447616</v>
      </c>
    </row>
    <row r="5529" spans="1:2" x14ac:dyDescent="0.25">
      <c r="A5529" t="s">
        <v>8072</v>
      </c>
      <c r="B5529">
        <v>486354</v>
      </c>
    </row>
    <row r="5530" spans="1:2" x14ac:dyDescent="0.25">
      <c r="A5530" t="s">
        <v>8073</v>
      </c>
      <c r="B5530">
        <v>213631</v>
      </c>
    </row>
    <row r="5531" spans="1:2" x14ac:dyDescent="0.25">
      <c r="A5531" t="s">
        <v>8074</v>
      </c>
      <c r="B5531">
        <v>128328</v>
      </c>
    </row>
    <row r="5532" spans="1:2" x14ac:dyDescent="0.25">
      <c r="A5532" t="s">
        <v>8075</v>
      </c>
      <c r="B5532">
        <v>130624</v>
      </c>
    </row>
    <row r="5533" spans="1:2" x14ac:dyDescent="0.25">
      <c r="A5533" t="s">
        <v>8076</v>
      </c>
      <c r="B5533">
        <v>197027</v>
      </c>
    </row>
    <row r="5534" spans="1:2" x14ac:dyDescent="0.25">
      <c r="A5534" t="s">
        <v>8077</v>
      </c>
      <c r="B5534">
        <v>197036</v>
      </c>
    </row>
    <row r="5535" spans="1:2" x14ac:dyDescent="0.25">
      <c r="A5535" t="s">
        <v>8078</v>
      </c>
      <c r="B5535">
        <v>164155</v>
      </c>
    </row>
    <row r="5536" spans="1:2" x14ac:dyDescent="0.25">
      <c r="A5536" t="s">
        <v>8079</v>
      </c>
      <c r="B5536">
        <v>102395</v>
      </c>
    </row>
    <row r="5537" spans="1:2" x14ac:dyDescent="0.25">
      <c r="A5537" t="s">
        <v>8080</v>
      </c>
      <c r="B5537">
        <v>447050</v>
      </c>
    </row>
    <row r="5538" spans="1:2" x14ac:dyDescent="0.25">
      <c r="A5538" t="s">
        <v>8081</v>
      </c>
      <c r="B5538">
        <v>197018</v>
      </c>
    </row>
    <row r="5539" spans="1:2" x14ac:dyDescent="0.25">
      <c r="A5539" t="s">
        <v>8082</v>
      </c>
      <c r="B5539">
        <v>419031</v>
      </c>
    </row>
    <row r="5540" spans="1:2" x14ac:dyDescent="0.25">
      <c r="A5540" t="s">
        <v>8083</v>
      </c>
      <c r="B5540">
        <v>206288</v>
      </c>
    </row>
    <row r="5541" spans="1:2" x14ac:dyDescent="0.25">
      <c r="A5541" t="s">
        <v>8084</v>
      </c>
      <c r="B5541">
        <v>175139</v>
      </c>
    </row>
    <row r="5542" spans="1:2" x14ac:dyDescent="0.25">
      <c r="A5542" t="s">
        <v>8085</v>
      </c>
      <c r="B5542">
        <v>200554</v>
      </c>
    </row>
    <row r="5543" spans="1:2" x14ac:dyDescent="0.25">
      <c r="A5543" t="s">
        <v>8086</v>
      </c>
      <c r="B5543">
        <v>459204</v>
      </c>
    </row>
    <row r="5544" spans="1:2" x14ac:dyDescent="0.25">
      <c r="A5544" t="s">
        <v>8086</v>
      </c>
      <c r="B5544">
        <v>476799</v>
      </c>
    </row>
    <row r="5545" spans="1:2" x14ac:dyDescent="0.25">
      <c r="A5545" t="s">
        <v>8086</v>
      </c>
      <c r="B5545">
        <v>479424</v>
      </c>
    </row>
    <row r="5546" spans="1:2" x14ac:dyDescent="0.25">
      <c r="A5546" t="s">
        <v>8087</v>
      </c>
      <c r="B5546">
        <v>161572</v>
      </c>
    </row>
    <row r="5547" spans="1:2" x14ac:dyDescent="0.25">
      <c r="A5547" t="s">
        <v>8088</v>
      </c>
      <c r="B5547">
        <v>153542</v>
      </c>
    </row>
    <row r="5548" spans="1:2" x14ac:dyDescent="0.25">
      <c r="A5548" t="s">
        <v>8089</v>
      </c>
      <c r="B5548">
        <v>446589</v>
      </c>
    </row>
    <row r="5549" spans="1:2" x14ac:dyDescent="0.25">
      <c r="A5549" t="s">
        <v>8090</v>
      </c>
      <c r="B5549">
        <v>372240</v>
      </c>
    </row>
    <row r="5550" spans="1:2" x14ac:dyDescent="0.25">
      <c r="A5550" t="s">
        <v>8091</v>
      </c>
      <c r="B5550">
        <v>446598</v>
      </c>
    </row>
    <row r="5551" spans="1:2" x14ac:dyDescent="0.25">
      <c r="A5551" t="s">
        <v>8092</v>
      </c>
      <c r="B5551">
        <v>485573</v>
      </c>
    </row>
    <row r="5552" spans="1:2" x14ac:dyDescent="0.25">
      <c r="A5552" t="s">
        <v>8093</v>
      </c>
      <c r="B5552">
        <v>459374</v>
      </c>
    </row>
    <row r="5553" spans="1:2" x14ac:dyDescent="0.25">
      <c r="A5553" t="s">
        <v>8094</v>
      </c>
      <c r="B5553">
        <v>106041</v>
      </c>
    </row>
    <row r="5554" spans="1:2" x14ac:dyDescent="0.25">
      <c r="A5554" t="s">
        <v>8095</v>
      </c>
      <c r="B5554">
        <v>105215</v>
      </c>
    </row>
    <row r="5555" spans="1:2" x14ac:dyDescent="0.25">
      <c r="A5555" t="s">
        <v>8096</v>
      </c>
      <c r="B5555">
        <v>438504</v>
      </c>
    </row>
    <row r="5556" spans="1:2" x14ac:dyDescent="0.25">
      <c r="A5556" t="s">
        <v>8097</v>
      </c>
      <c r="B5556">
        <v>366191</v>
      </c>
    </row>
    <row r="5557" spans="1:2" x14ac:dyDescent="0.25">
      <c r="A5557" t="s">
        <v>8098</v>
      </c>
      <c r="B5557">
        <v>448433</v>
      </c>
    </row>
    <row r="5558" spans="1:2" x14ac:dyDescent="0.25">
      <c r="A5558" t="s">
        <v>8099</v>
      </c>
      <c r="B5558">
        <v>445799</v>
      </c>
    </row>
    <row r="5559" spans="1:2" x14ac:dyDescent="0.25">
      <c r="A5559" t="s">
        <v>8100</v>
      </c>
      <c r="B5559">
        <v>229416</v>
      </c>
    </row>
    <row r="5560" spans="1:2" x14ac:dyDescent="0.25">
      <c r="A5560" t="s">
        <v>8101</v>
      </c>
      <c r="B5560">
        <v>369400</v>
      </c>
    </row>
    <row r="5561" spans="1:2" x14ac:dyDescent="0.25">
      <c r="A5561" t="s">
        <v>8102</v>
      </c>
      <c r="B5561">
        <v>493132</v>
      </c>
    </row>
    <row r="5562" spans="1:2" x14ac:dyDescent="0.25">
      <c r="A5562" t="s">
        <v>8103</v>
      </c>
      <c r="B5562">
        <v>460543</v>
      </c>
    </row>
    <row r="5563" spans="1:2" x14ac:dyDescent="0.25">
      <c r="A5563" t="s">
        <v>8104</v>
      </c>
      <c r="B5563">
        <v>487597</v>
      </c>
    </row>
    <row r="5564" spans="1:2" x14ac:dyDescent="0.25">
      <c r="A5564" t="s">
        <v>8105</v>
      </c>
      <c r="B5564">
        <v>497286</v>
      </c>
    </row>
    <row r="5565" spans="1:2" x14ac:dyDescent="0.25">
      <c r="A5565" t="s">
        <v>8106</v>
      </c>
      <c r="B5565">
        <v>376385</v>
      </c>
    </row>
    <row r="5566" spans="1:2" x14ac:dyDescent="0.25">
      <c r="A5566" t="s">
        <v>8107</v>
      </c>
      <c r="B5566">
        <v>481429</v>
      </c>
    </row>
    <row r="5567" spans="1:2" x14ac:dyDescent="0.25">
      <c r="A5567" t="s">
        <v>8108</v>
      </c>
      <c r="B5567">
        <v>241191</v>
      </c>
    </row>
    <row r="5568" spans="1:2" x14ac:dyDescent="0.25">
      <c r="A5568" t="s">
        <v>8109</v>
      </c>
      <c r="B5568">
        <v>243346</v>
      </c>
    </row>
    <row r="5569" spans="1:2" x14ac:dyDescent="0.25">
      <c r="A5569" t="s">
        <v>8110</v>
      </c>
      <c r="B5569">
        <v>241739</v>
      </c>
    </row>
    <row r="5570" spans="1:2" x14ac:dyDescent="0.25">
      <c r="A5570" t="s">
        <v>8111</v>
      </c>
      <c r="B5570">
        <v>243601</v>
      </c>
    </row>
    <row r="5571" spans="1:2" x14ac:dyDescent="0.25">
      <c r="A5571" t="s">
        <v>8112</v>
      </c>
      <c r="B5571">
        <v>241225</v>
      </c>
    </row>
    <row r="5572" spans="1:2" x14ac:dyDescent="0.25">
      <c r="A5572" t="s">
        <v>8113</v>
      </c>
      <c r="B5572">
        <v>243568</v>
      </c>
    </row>
    <row r="5573" spans="1:2" x14ac:dyDescent="0.25">
      <c r="A5573" t="s">
        <v>8114</v>
      </c>
      <c r="B5573">
        <v>243443</v>
      </c>
    </row>
    <row r="5574" spans="1:2" x14ac:dyDescent="0.25">
      <c r="A5574" t="s">
        <v>8115</v>
      </c>
      <c r="B5574">
        <v>441690</v>
      </c>
    </row>
    <row r="5575" spans="1:2" x14ac:dyDescent="0.25">
      <c r="A5575" t="s">
        <v>8116</v>
      </c>
      <c r="B5575">
        <v>243577</v>
      </c>
    </row>
    <row r="5576" spans="1:2" x14ac:dyDescent="0.25">
      <c r="A5576" t="s">
        <v>8117</v>
      </c>
      <c r="B5576">
        <v>241614</v>
      </c>
    </row>
    <row r="5577" spans="1:2" x14ac:dyDescent="0.25">
      <c r="A5577" t="s">
        <v>8118</v>
      </c>
      <c r="B5577">
        <v>476805</v>
      </c>
    </row>
    <row r="5578" spans="1:2" x14ac:dyDescent="0.25">
      <c r="A5578" t="s">
        <v>8119</v>
      </c>
      <c r="B5578">
        <v>196088</v>
      </c>
    </row>
    <row r="5579" spans="1:2" x14ac:dyDescent="0.25">
      <c r="A5579" t="s">
        <v>8120</v>
      </c>
      <c r="B5579">
        <v>363934</v>
      </c>
    </row>
    <row r="5580" spans="1:2" x14ac:dyDescent="0.25">
      <c r="A5580" t="s">
        <v>8121</v>
      </c>
      <c r="B5580">
        <v>454953</v>
      </c>
    </row>
    <row r="5581" spans="1:2" x14ac:dyDescent="0.25">
      <c r="A5581" t="s">
        <v>8122</v>
      </c>
      <c r="B5581">
        <v>200800</v>
      </c>
    </row>
    <row r="5582" spans="1:2" x14ac:dyDescent="0.25">
      <c r="A5582" t="s">
        <v>8123</v>
      </c>
      <c r="B5582">
        <v>200846</v>
      </c>
    </row>
    <row r="5583" spans="1:2" x14ac:dyDescent="0.25">
      <c r="A5583" t="s">
        <v>8124</v>
      </c>
      <c r="B5583">
        <v>100663</v>
      </c>
    </row>
    <row r="5584" spans="1:2" x14ac:dyDescent="0.25">
      <c r="A5584" t="s">
        <v>8125</v>
      </c>
      <c r="B5584">
        <v>100706</v>
      </c>
    </row>
    <row r="5585" spans="1:2" x14ac:dyDescent="0.25">
      <c r="A5585" t="s">
        <v>8126</v>
      </c>
      <c r="B5585">
        <v>100733</v>
      </c>
    </row>
    <row r="5586" spans="1:2" x14ac:dyDescent="0.25">
      <c r="A5586" t="s">
        <v>8127</v>
      </c>
      <c r="B5586">
        <v>102553</v>
      </c>
    </row>
    <row r="5587" spans="1:2" x14ac:dyDescent="0.25">
      <c r="A5587" t="s">
        <v>8128</v>
      </c>
      <c r="B5587">
        <v>102614</v>
      </c>
    </row>
    <row r="5588" spans="1:2" x14ac:dyDescent="0.25">
      <c r="A5588" t="s">
        <v>8129</v>
      </c>
      <c r="B5588">
        <v>102632</v>
      </c>
    </row>
    <row r="5589" spans="1:2" x14ac:dyDescent="0.25">
      <c r="A5589" t="s">
        <v>8130</v>
      </c>
      <c r="B5589">
        <v>103529</v>
      </c>
    </row>
    <row r="5590" spans="1:2" x14ac:dyDescent="0.25">
      <c r="A5590" t="s">
        <v>8131</v>
      </c>
      <c r="B5590">
        <v>442930</v>
      </c>
    </row>
    <row r="5591" spans="1:2" x14ac:dyDescent="0.25">
      <c r="A5591" t="s">
        <v>8132</v>
      </c>
      <c r="B5591">
        <v>104179</v>
      </c>
    </row>
    <row r="5592" spans="1:2" x14ac:dyDescent="0.25">
      <c r="A5592" t="s">
        <v>8133</v>
      </c>
      <c r="B5592">
        <v>487296</v>
      </c>
    </row>
    <row r="5593" spans="1:2" x14ac:dyDescent="0.25">
      <c r="A5593" t="s">
        <v>8134</v>
      </c>
      <c r="B5593">
        <v>106397</v>
      </c>
    </row>
    <row r="5594" spans="1:2" x14ac:dyDescent="0.25">
      <c r="A5594" t="s">
        <v>8135</v>
      </c>
      <c r="B5594">
        <v>106245</v>
      </c>
    </row>
    <row r="5595" spans="1:2" x14ac:dyDescent="0.25">
      <c r="A5595" t="s">
        <v>8136</v>
      </c>
      <c r="B5595">
        <v>106485</v>
      </c>
    </row>
    <row r="5596" spans="1:2" x14ac:dyDescent="0.25">
      <c r="A5596" t="s">
        <v>8137</v>
      </c>
      <c r="B5596">
        <v>106412</v>
      </c>
    </row>
    <row r="5597" spans="1:2" x14ac:dyDescent="0.25">
      <c r="A5597" t="s">
        <v>8138</v>
      </c>
      <c r="B5597">
        <v>107743</v>
      </c>
    </row>
    <row r="5598" spans="1:2" x14ac:dyDescent="0.25">
      <c r="A5598" t="s">
        <v>8139</v>
      </c>
      <c r="B5598">
        <v>106999</v>
      </c>
    </row>
    <row r="5599" spans="1:2" x14ac:dyDescent="0.25">
      <c r="A5599" t="s">
        <v>8140</v>
      </c>
      <c r="B5599">
        <v>107585</v>
      </c>
    </row>
    <row r="5600" spans="1:2" x14ac:dyDescent="0.25">
      <c r="A5600" t="s">
        <v>8141</v>
      </c>
      <c r="B5600">
        <v>106263</v>
      </c>
    </row>
    <row r="5601" spans="1:2" x14ac:dyDescent="0.25">
      <c r="A5601" t="s">
        <v>8142</v>
      </c>
      <c r="B5601">
        <v>107725</v>
      </c>
    </row>
    <row r="5602" spans="1:2" x14ac:dyDescent="0.25">
      <c r="A5602" t="s">
        <v>8143</v>
      </c>
      <c r="B5602">
        <v>493725</v>
      </c>
    </row>
    <row r="5603" spans="1:2" x14ac:dyDescent="0.25">
      <c r="A5603" t="s">
        <v>8144</v>
      </c>
      <c r="B5603">
        <v>108056</v>
      </c>
    </row>
    <row r="5604" spans="1:2" x14ac:dyDescent="0.25">
      <c r="A5604" t="s">
        <v>8145</v>
      </c>
      <c r="B5604">
        <v>108092</v>
      </c>
    </row>
    <row r="5605" spans="1:2" x14ac:dyDescent="0.25">
      <c r="A5605" t="s">
        <v>8146</v>
      </c>
      <c r="B5605">
        <v>107664</v>
      </c>
    </row>
    <row r="5606" spans="1:2" x14ac:dyDescent="0.25">
      <c r="A5606" t="s">
        <v>8147</v>
      </c>
      <c r="B5606">
        <v>161873</v>
      </c>
    </row>
    <row r="5607" spans="1:2" x14ac:dyDescent="0.25">
      <c r="A5607" t="s">
        <v>8148</v>
      </c>
      <c r="B5607">
        <v>128744</v>
      </c>
    </row>
    <row r="5608" spans="1:2" x14ac:dyDescent="0.25">
      <c r="A5608" t="s">
        <v>8149</v>
      </c>
      <c r="B5608">
        <v>110635</v>
      </c>
    </row>
    <row r="5609" spans="1:2" x14ac:dyDescent="0.25">
      <c r="A5609" t="s">
        <v>8150</v>
      </c>
      <c r="B5609">
        <v>110644</v>
      </c>
    </row>
    <row r="5610" spans="1:2" x14ac:dyDescent="0.25">
      <c r="A5610" t="s">
        <v>8151</v>
      </c>
      <c r="B5610">
        <v>110398</v>
      </c>
    </row>
    <row r="5611" spans="1:2" x14ac:dyDescent="0.25">
      <c r="A5611" t="s">
        <v>8152</v>
      </c>
      <c r="B5611">
        <v>110653</v>
      </c>
    </row>
    <row r="5612" spans="1:2" x14ac:dyDescent="0.25">
      <c r="A5612" t="s">
        <v>8153</v>
      </c>
      <c r="B5612">
        <v>110662</v>
      </c>
    </row>
    <row r="5613" spans="1:2" x14ac:dyDescent="0.25">
      <c r="A5613" t="s">
        <v>8154</v>
      </c>
      <c r="B5613">
        <v>445188</v>
      </c>
    </row>
    <row r="5614" spans="1:2" x14ac:dyDescent="0.25">
      <c r="A5614" t="s">
        <v>8155</v>
      </c>
      <c r="B5614">
        <v>110671</v>
      </c>
    </row>
    <row r="5615" spans="1:2" x14ac:dyDescent="0.25">
      <c r="A5615" t="s">
        <v>8156</v>
      </c>
      <c r="B5615">
        <v>110680</v>
      </c>
    </row>
    <row r="5616" spans="1:2" x14ac:dyDescent="0.25">
      <c r="A5616" t="s">
        <v>8157</v>
      </c>
      <c r="B5616">
        <v>110699</v>
      </c>
    </row>
    <row r="5617" spans="1:2" x14ac:dyDescent="0.25">
      <c r="A5617" t="s">
        <v>8158</v>
      </c>
      <c r="B5617">
        <v>110705</v>
      </c>
    </row>
    <row r="5618" spans="1:2" x14ac:dyDescent="0.25">
      <c r="A5618" t="s">
        <v>8159</v>
      </c>
      <c r="B5618">
        <v>110714</v>
      </c>
    </row>
    <row r="5619" spans="1:2" x14ac:dyDescent="0.25">
      <c r="A5619" t="s">
        <v>8160</v>
      </c>
      <c r="B5619">
        <v>124557</v>
      </c>
    </row>
    <row r="5620" spans="1:2" x14ac:dyDescent="0.25">
      <c r="A5620" t="s">
        <v>8161</v>
      </c>
      <c r="B5620">
        <v>106704</v>
      </c>
    </row>
    <row r="5621" spans="1:2" x14ac:dyDescent="0.25">
      <c r="A5621" t="s">
        <v>8162</v>
      </c>
      <c r="B5621">
        <v>132903</v>
      </c>
    </row>
    <row r="5622" spans="1:2" x14ac:dyDescent="0.25">
      <c r="A5622" t="s">
        <v>8163</v>
      </c>
      <c r="B5622">
        <v>176965</v>
      </c>
    </row>
    <row r="5623" spans="1:2" x14ac:dyDescent="0.25">
      <c r="A5623" t="s">
        <v>8164</v>
      </c>
      <c r="B5623">
        <v>206941</v>
      </c>
    </row>
    <row r="5624" spans="1:2" x14ac:dyDescent="0.25">
      <c r="A5624" t="s">
        <v>8165</v>
      </c>
      <c r="B5624">
        <v>237312</v>
      </c>
    </row>
    <row r="5625" spans="1:2" x14ac:dyDescent="0.25">
      <c r="A5625" t="s">
        <v>8166</v>
      </c>
      <c r="B5625">
        <v>144050</v>
      </c>
    </row>
    <row r="5626" spans="1:2" x14ac:dyDescent="0.25">
      <c r="A5626" t="s">
        <v>8167</v>
      </c>
      <c r="B5626">
        <v>201955</v>
      </c>
    </row>
    <row r="5627" spans="1:2" x14ac:dyDescent="0.25">
      <c r="A5627" t="s">
        <v>8168</v>
      </c>
      <c r="B5627">
        <v>201946</v>
      </c>
    </row>
    <row r="5628" spans="1:2" x14ac:dyDescent="0.25">
      <c r="A5628" t="s">
        <v>8169</v>
      </c>
      <c r="B5628">
        <v>201885</v>
      </c>
    </row>
    <row r="5629" spans="1:2" x14ac:dyDescent="0.25">
      <c r="A5629" t="s">
        <v>8170</v>
      </c>
      <c r="B5629">
        <v>126614</v>
      </c>
    </row>
    <row r="5630" spans="1:2" x14ac:dyDescent="0.25">
      <c r="A5630" t="s">
        <v>8171</v>
      </c>
      <c r="B5630">
        <v>126580</v>
      </c>
    </row>
    <row r="5631" spans="1:2" x14ac:dyDescent="0.25">
      <c r="A5631" t="s">
        <v>8172</v>
      </c>
      <c r="B5631">
        <v>126562</v>
      </c>
    </row>
    <row r="5632" spans="1:2" x14ac:dyDescent="0.25">
      <c r="A5632" t="s">
        <v>8173</v>
      </c>
      <c r="B5632">
        <v>128300</v>
      </c>
    </row>
    <row r="5633" spans="1:2" x14ac:dyDescent="0.25">
      <c r="A5633" t="s">
        <v>8174</v>
      </c>
      <c r="B5633">
        <v>129020</v>
      </c>
    </row>
    <row r="5634" spans="1:2" x14ac:dyDescent="0.25">
      <c r="A5634" t="s">
        <v>8175</v>
      </c>
      <c r="B5634">
        <v>436827</v>
      </c>
    </row>
    <row r="5635" spans="1:2" x14ac:dyDescent="0.25">
      <c r="A5635" t="s">
        <v>8176</v>
      </c>
      <c r="B5635">
        <v>463056</v>
      </c>
    </row>
    <row r="5636" spans="1:2" x14ac:dyDescent="0.25">
      <c r="A5636" t="s">
        <v>8177</v>
      </c>
      <c r="B5636">
        <v>436836</v>
      </c>
    </row>
    <row r="5637" spans="1:2" x14ac:dyDescent="0.25">
      <c r="A5637" t="s">
        <v>8178</v>
      </c>
      <c r="B5637">
        <v>436818</v>
      </c>
    </row>
    <row r="5638" spans="1:2" x14ac:dyDescent="0.25">
      <c r="A5638" t="s">
        <v>8179</v>
      </c>
      <c r="B5638">
        <v>224323</v>
      </c>
    </row>
    <row r="5639" spans="1:2" x14ac:dyDescent="0.25">
      <c r="A5639" t="s">
        <v>8180</v>
      </c>
      <c r="B5639">
        <v>202480</v>
      </c>
    </row>
    <row r="5640" spans="1:2" x14ac:dyDescent="0.25">
      <c r="A5640" t="s">
        <v>8181</v>
      </c>
      <c r="B5640">
        <v>130943</v>
      </c>
    </row>
    <row r="5641" spans="1:2" x14ac:dyDescent="0.25">
      <c r="A5641" t="s">
        <v>8182</v>
      </c>
      <c r="B5641">
        <v>127060</v>
      </c>
    </row>
    <row r="5642" spans="1:2" x14ac:dyDescent="0.25">
      <c r="A5642" t="s">
        <v>8183</v>
      </c>
      <c r="B5642">
        <v>169716</v>
      </c>
    </row>
    <row r="5643" spans="1:2" x14ac:dyDescent="0.25">
      <c r="A5643" t="s">
        <v>8184</v>
      </c>
      <c r="B5643">
        <v>153278</v>
      </c>
    </row>
    <row r="5644" spans="1:2" x14ac:dyDescent="0.25">
      <c r="A5644" t="s">
        <v>8185</v>
      </c>
      <c r="B5644">
        <v>447801</v>
      </c>
    </row>
    <row r="5645" spans="1:2" x14ac:dyDescent="0.25">
      <c r="A5645" t="s">
        <v>8186</v>
      </c>
      <c r="B5645">
        <v>150534</v>
      </c>
    </row>
    <row r="5646" spans="1:2" x14ac:dyDescent="0.25">
      <c r="A5646" t="s">
        <v>8187</v>
      </c>
      <c r="B5646">
        <v>134130</v>
      </c>
    </row>
    <row r="5647" spans="1:2" x14ac:dyDescent="0.25">
      <c r="A5647" t="s">
        <v>8188</v>
      </c>
      <c r="B5647">
        <v>484473</v>
      </c>
    </row>
    <row r="5648" spans="1:2" x14ac:dyDescent="0.25">
      <c r="A5648" t="s">
        <v>8189</v>
      </c>
      <c r="B5648">
        <v>457402</v>
      </c>
    </row>
    <row r="5649" spans="1:2" x14ac:dyDescent="0.25">
      <c r="A5649" t="s">
        <v>8190</v>
      </c>
      <c r="B5649">
        <v>139959</v>
      </c>
    </row>
    <row r="5650" spans="1:2" x14ac:dyDescent="0.25">
      <c r="A5650" t="s">
        <v>8191</v>
      </c>
      <c r="B5650">
        <v>240754</v>
      </c>
    </row>
    <row r="5651" spans="1:2" x14ac:dyDescent="0.25">
      <c r="A5651" t="s">
        <v>8192</v>
      </c>
      <c r="B5651">
        <v>129525</v>
      </c>
    </row>
    <row r="5652" spans="1:2" x14ac:dyDescent="0.25">
      <c r="A5652" t="s">
        <v>8193</v>
      </c>
      <c r="B5652">
        <v>141565</v>
      </c>
    </row>
    <row r="5653" spans="1:2" x14ac:dyDescent="0.25">
      <c r="A5653" t="s">
        <v>8194</v>
      </c>
      <c r="B5653">
        <v>141574</v>
      </c>
    </row>
    <row r="5654" spans="1:2" x14ac:dyDescent="0.25">
      <c r="A5654" t="s">
        <v>8195</v>
      </c>
      <c r="B5654">
        <v>141839</v>
      </c>
    </row>
    <row r="5655" spans="1:2" x14ac:dyDescent="0.25">
      <c r="A5655" t="s">
        <v>8196</v>
      </c>
      <c r="B5655">
        <v>141963</v>
      </c>
    </row>
    <row r="5656" spans="1:2" x14ac:dyDescent="0.25">
      <c r="A5656" t="s">
        <v>8197</v>
      </c>
      <c r="B5656">
        <v>141981</v>
      </c>
    </row>
    <row r="5657" spans="1:2" x14ac:dyDescent="0.25">
      <c r="A5657" t="s">
        <v>8198</v>
      </c>
      <c r="B5657">
        <v>179265</v>
      </c>
    </row>
    <row r="5658" spans="1:2" x14ac:dyDescent="0.25">
      <c r="A5658" t="s">
        <v>8199</v>
      </c>
      <c r="B5658">
        <v>160065</v>
      </c>
    </row>
    <row r="5659" spans="1:2" x14ac:dyDescent="0.25">
      <c r="A5659" t="s">
        <v>8200</v>
      </c>
      <c r="B5659">
        <v>225511</v>
      </c>
    </row>
    <row r="5660" spans="1:2" x14ac:dyDescent="0.25">
      <c r="A5660" t="s">
        <v>8201</v>
      </c>
      <c r="B5660">
        <v>225414</v>
      </c>
    </row>
    <row r="5661" spans="1:2" x14ac:dyDescent="0.25">
      <c r="A5661" t="s">
        <v>8202</v>
      </c>
      <c r="B5661">
        <v>225432</v>
      </c>
    </row>
    <row r="5662" spans="1:2" x14ac:dyDescent="0.25">
      <c r="A5662" t="s">
        <v>8203</v>
      </c>
      <c r="B5662">
        <v>229407</v>
      </c>
    </row>
    <row r="5663" spans="1:2" x14ac:dyDescent="0.25">
      <c r="A5663" t="s">
        <v>8204</v>
      </c>
      <c r="B5663">
        <v>225502</v>
      </c>
    </row>
    <row r="5664" spans="1:2" x14ac:dyDescent="0.25">
      <c r="A5664" t="s">
        <v>8205</v>
      </c>
      <c r="B5664">
        <v>142285</v>
      </c>
    </row>
    <row r="5665" spans="1:2" x14ac:dyDescent="0.25">
      <c r="A5665" t="s">
        <v>8206</v>
      </c>
      <c r="B5665">
        <v>145600</v>
      </c>
    </row>
    <row r="5666" spans="1:2" x14ac:dyDescent="0.25">
      <c r="A5666" t="s">
        <v>8207</v>
      </c>
      <c r="B5666">
        <v>148654</v>
      </c>
    </row>
    <row r="5667" spans="1:2" x14ac:dyDescent="0.25">
      <c r="A5667" t="s">
        <v>8208</v>
      </c>
      <c r="B5667">
        <v>149587</v>
      </c>
    </row>
    <row r="5668" spans="1:2" x14ac:dyDescent="0.25">
      <c r="A5668" t="s">
        <v>8209</v>
      </c>
      <c r="B5668">
        <v>145637</v>
      </c>
    </row>
    <row r="5669" spans="1:2" x14ac:dyDescent="0.25">
      <c r="A5669" t="s">
        <v>8210</v>
      </c>
      <c r="B5669">
        <v>151263</v>
      </c>
    </row>
    <row r="5670" spans="1:2" x14ac:dyDescent="0.25">
      <c r="A5670" t="s">
        <v>8211</v>
      </c>
      <c r="B5670">
        <v>153658</v>
      </c>
    </row>
    <row r="5671" spans="1:2" x14ac:dyDescent="0.25">
      <c r="A5671" t="s">
        <v>8212</v>
      </c>
      <c r="B5671">
        <v>200156</v>
      </c>
    </row>
    <row r="5672" spans="1:2" x14ac:dyDescent="0.25">
      <c r="A5672" t="s">
        <v>8213</v>
      </c>
      <c r="B5672">
        <v>155317</v>
      </c>
    </row>
    <row r="5673" spans="1:2" x14ac:dyDescent="0.25">
      <c r="A5673" t="s">
        <v>8214</v>
      </c>
      <c r="B5673">
        <v>157085</v>
      </c>
    </row>
    <row r="5674" spans="1:2" x14ac:dyDescent="0.25">
      <c r="A5674" t="s">
        <v>8215</v>
      </c>
      <c r="B5674">
        <v>117140</v>
      </c>
    </row>
    <row r="5675" spans="1:2" x14ac:dyDescent="0.25">
      <c r="A5675" t="s">
        <v>8216</v>
      </c>
      <c r="B5675">
        <v>160658</v>
      </c>
    </row>
    <row r="5676" spans="1:2" x14ac:dyDescent="0.25">
      <c r="A5676" t="s">
        <v>8217</v>
      </c>
      <c r="B5676">
        <v>159993</v>
      </c>
    </row>
    <row r="5677" spans="1:2" x14ac:dyDescent="0.25">
      <c r="A5677" t="s">
        <v>8218</v>
      </c>
      <c r="B5677">
        <v>247083</v>
      </c>
    </row>
    <row r="5678" spans="1:2" x14ac:dyDescent="0.25">
      <c r="A5678" t="s">
        <v>8219</v>
      </c>
      <c r="B5678">
        <v>157289</v>
      </c>
    </row>
    <row r="5679" spans="1:2" x14ac:dyDescent="0.25">
      <c r="A5679" t="s">
        <v>8220</v>
      </c>
      <c r="B5679">
        <v>232609</v>
      </c>
    </row>
    <row r="5680" spans="1:2" x14ac:dyDescent="0.25">
      <c r="A5680" t="s">
        <v>8221</v>
      </c>
      <c r="B5680">
        <v>161253</v>
      </c>
    </row>
    <row r="5681" spans="1:2" x14ac:dyDescent="0.25">
      <c r="A5681" t="s">
        <v>8838</v>
      </c>
      <c r="B5681">
        <v>497347</v>
      </c>
    </row>
    <row r="5682" spans="1:2" x14ac:dyDescent="0.25">
      <c r="A5682" t="s">
        <v>8222</v>
      </c>
      <c r="B5682">
        <v>161217</v>
      </c>
    </row>
    <row r="5683" spans="1:2" x14ac:dyDescent="0.25">
      <c r="A5683" t="s">
        <v>8223</v>
      </c>
      <c r="B5683">
        <v>161226</v>
      </c>
    </row>
    <row r="5684" spans="1:2" x14ac:dyDescent="0.25">
      <c r="A5684" t="s">
        <v>8224</v>
      </c>
      <c r="B5684">
        <v>161235</v>
      </c>
    </row>
    <row r="5685" spans="1:2" x14ac:dyDescent="0.25">
      <c r="A5685" t="s">
        <v>8225</v>
      </c>
      <c r="B5685">
        <v>161244</v>
      </c>
    </row>
    <row r="5686" spans="1:2" x14ac:dyDescent="0.25">
      <c r="A5686" t="s">
        <v>8226</v>
      </c>
      <c r="B5686">
        <v>161341</v>
      </c>
    </row>
    <row r="5687" spans="1:2" x14ac:dyDescent="0.25">
      <c r="A5687" t="s">
        <v>8227</v>
      </c>
      <c r="B5687">
        <v>161280</v>
      </c>
    </row>
    <row r="5688" spans="1:2" x14ac:dyDescent="0.25">
      <c r="A5688" t="s">
        <v>8228</v>
      </c>
      <c r="B5688">
        <v>437097</v>
      </c>
    </row>
    <row r="5689" spans="1:2" x14ac:dyDescent="0.25">
      <c r="A5689" t="s">
        <v>8229</v>
      </c>
      <c r="B5689">
        <v>200217</v>
      </c>
    </row>
    <row r="5690" spans="1:2" x14ac:dyDescent="0.25">
      <c r="A5690" t="s">
        <v>8230</v>
      </c>
      <c r="B5690">
        <v>226471</v>
      </c>
    </row>
    <row r="5691" spans="1:2" x14ac:dyDescent="0.25">
      <c r="A5691" t="s">
        <v>8231</v>
      </c>
      <c r="B5691">
        <v>232681</v>
      </c>
    </row>
    <row r="5692" spans="1:2" x14ac:dyDescent="0.25">
      <c r="A5692" t="s">
        <v>8232</v>
      </c>
      <c r="B5692">
        <v>163338</v>
      </c>
    </row>
    <row r="5693" spans="1:2" x14ac:dyDescent="0.25">
      <c r="A5693" t="s">
        <v>8233</v>
      </c>
      <c r="B5693">
        <v>163204</v>
      </c>
    </row>
    <row r="5694" spans="1:2" x14ac:dyDescent="0.25">
      <c r="A5694" t="s">
        <v>8234</v>
      </c>
      <c r="B5694">
        <v>163259</v>
      </c>
    </row>
    <row r="5695" spans="1:2" x14ac:dyDescent="0.25">
      <c r="A5695" t="s">
        <v>8235</v>
      </c>
      <c r="B5695">
        <v>163268</v>
      </c>
    </row>
    <row r="5696" spans="1:2" x14ac:dyDescent="0.25">
      <c r="A5696" t="s">
        <v>8236</v>
      </c>
      <c r="B5696">
        <v>163286</v>
      </c>
    </row>
    <row r="5697" spans="1:2" x14ac:dyDescent="0.25">
      <c r="A5697" t="s">
        <v>8237</v>
      </c>
      <c r="B5697">
        <v>262086</v>
      </c>
    </row>
    <row r="5698" spans="1:2" x14ac:dyDescent="0.25">
      <c r="A5698" t="s">
        <v>8238</v>
      </c>
      <c r="B5698">
        <v>166708</v>
      </c>
    </row>
    <row r="5699" spans="1:2" x14ac:dyDescent="0.25">
      <c r="A5699" t="s">
        <v>8239</v>
      </c>
      <c r="B5699">
        <v>166629</v>
      </c>
    </row>
    <row r="5700" spans="1:2" x14ac:dyDescent="0.25">
      <c r="A5700" t="s">
        <v>8240</v>
      </c>
      <c r="B5700">
        <v>166638</v>
      </c>
    </row>
    <row r="5701" spans="1:2" x14ac:dyDescent="0.25">
      <c r="A5701" t="s">
        <v>8241</v>
      </c>
      <c r="B5701">
        <v>166665</v>
      </c>
    </row>
    <row r="5702" spans="1:2" x14ac:dyDescent="0.25">
      <c r="A5702" t="s">
        <v>8242</v>
      </c>
      <c r="B5702">
        <v>167987</v>
      </c>
    </row>
    <row r="5703" spans="1:2" x14ac:dyDescent="0.25">
      <c r="A5703" t="s">
        <v>8243</v>
      </c>
      <c r="B5703">
        <v>166513</v>
      </c>
    </row>
    <row r="5704" spans="1:2" x14ac:dyDescent="0.25">
      <c r="A5704" t="s">
        <v>8244</v>
      </c>
      <c r="B5704">
        <v>220862</v>
      </c>
    </row>
    <row r="5705" spans="1:2" x14ac:dyDescent="0.25">
      <c r="A5705" t="s">
        <v>8245</v>
      </c>
      <c r="B5705">
        <v>135726</v>
      </c>
    </row>
    <row r="5706" spans="1:2" x14ac:dyDescent="0.25">
      <c r="A5706" t="s">
        <v>8246</v>
      </c>
      <c r="B5706">
        <v>170976</v>
      </c>
    </row>
    <row r="5707" spans="1:2" x14ac:dyDescent="0.25">
      <c r="A5707" t="s">
        <v>8247</v>
      </c>
      <c r="B5707">
        <v>171137</v>
      </c>
    </row>
    <row r="5708" spans="1:2" x14ac:dyDescent="0.25">
      <c r="A5708" t="s">
        <v>8248</v>
      </c>
      <c r="B5708">
        <v>171146</v>
      </c>
    </row>
    <row r="5709" spans="1:2" x14ac:dyDescent="0.25">
      <c r="A5709" t="s">
        <v>8249</v>
      </c>
      <c r="B5709">
        <v>174075</v>
      </c>
    </row>
    <row r="5710" spans="1:2" x14ac:dyDescent="0.25">
      <c r="A5710" t="s">
        <v>8250</v>
      </c>
      <c r="B5710">
        <v>174233</v>
      </c>
    </row>
    <row r="5711" spans="1:2" x14ac:dyDescent="0.25">
      <c r="A5711" t="s">
        <v>8251</v>
      </c>
      <c r="B5711">
        <v>174251</v>
      </c>
    </row>
    <row r="5712" spans="1:2" x14ac:dyDescent="0.25">
      <c r="A5712" t="s">
        <v>8252</v>
      </c>
      <c r="B5712">
        <v>456959</v>
      </c>
    </row>
    <row r="5713" spans="1:2" x14ac:dyDescent="0.25">
      <c r="A5713" t="s">
        <v>8253</v>
      </c>
      <c r="B5713">
        <v>174066</v>
      </c>
    </row>
    <row r="5714" spans="1:2" x14ac:dyDescent="0.25">
      <c r="A5714" t="s">
        <v>8254</v>
      </c>
      <c r="B5714">
        <v>176017</v>
      </c>
    </row>
    <row r="5715" spans="1:2" x14ac:dyDescent="0.25">
      <c r="A5715" t="s">
        <v>8255</v>
      </c>
      <c r="B5715">
        <v>178396</v>
      </c>
    </row>
    <row r="5716" spans="1:2" x14ac:dyDescent="0.25">
      <c r="A5716" t="s">
        <v>8256</v>
      </c>
      <c r="B5716">
        <v>178402</v>
      </c>
    </row>
    <row r="5717" spans="1:2" x14ac:dyDescent="0.25">
      <c r="A5717" t="s">
        <v>8257</v>
      </c>
      <c r="B5717">
        <v>178420</v>
      </c>
    </row>
    <row r="5718" spans="1:2" x14ac:dyDescent="0.25">
      <c r="A5718" t="s">
        <v>8258</v>
      </c>
      <c r="B5718">
        <v>178439</v>
      </c>
    </row>
    <row r="5719" spans="1:2" x14ac:dyDescent="0.25">
      <c r="A5719" t="s">
        <v>8259</v>
      </c>
      <c r="B5719">
        <v>101693</v>
      </c>
    </row>
    <row r="5720" spans="1:2" x14ac:dyDescent="0.25">
      <c r="A5720" t="s">
        <v>8260</v>
      </c>
      <c r="B5720">
        <v>101709</v>
      </c>
    </row>
    <row r="5721" spans="1:2" x14ac:dyDescent="0.25">
      <c r="A5721" t="s">
        <v>8261</v>
      </c>
      <c r="B5721">
        <v>199069</v>
      </c>
    </row>
    <row r="5722" spans="1:2" x14ac:dyDescent="0.25">
      <c r="A5722" t="s">
        <v>8262</v>
      </c>
      <c r="B5722">
        <v>204185</v>
      </c>
    </row>
    <row r="5723" spans="1:2" x14ac:dyDescent="0.25">
      <c r="A5723" t="s">
        <v>8263</v>
      </c>
      <c r="B5723">
        <v>181215</v>
      </c>
    </row>
    <row r="5724" spans="1:2" x14ac:dyDescent="0.25">
      <c r="A5724" t="s">
        <v>8264</v>
      </c>
      <c r="B5724">
        <v>181394</v>
      </c>
    </row>
    <row r="5725" spans="1:2" x14ac:dyDescent="0.25">
      <c r="A5725" t="s">
        <v>8265</v>
      </c>
      <c r="B5725">
        <v>181428</v>
      </c>
    </row>
    <row r="5726" spans="1:2" x14ac:dyDescent="0.25">
      <c r="A5726" t="s">
        <v>8266</v>
      </c>
      <c r="B5726">
        <v>181747</v>
      </c>
    </row>
    <row r="5727" spans="1:2" x14ac:dyDescent="0.25">
      <c r="A5727" t="s">
        <v>8267</v>
      </c>
      <c r="B5727">
        <v>181464</v>
      </c>
    </row>
    <row r="5728" spans="1:2" x14ac:dyDescent="0.25">
      <c r="A5728" t="s">
        <v>8268</v>
      </c>
      <c r="B5728">
        <v>182281</v>
      </c>
    </row>
    <row r="5729" spans="1:2" x14ac:dyDescent="0.25">
      <c r="A5729" t="s">
        <v>8269</v>
      </c>
      <c r="B5729">
        <v>182290</v>
      </c>
    </row>
    <row r="5730" spans="1:2" x14ac:dyDescent="0.25">
      <c r="A5730" t="s">
        <v>8270</v>
      </c>
      <c r="B5730">
        <v>161457</v>
      </c>
    </row>
    <row r="5731" spans="1:2" x14ac:dyDescent="0.25">
      <c r="A5731" t="s">
        <v>8271</v>
      </c>
      <c r="B5731">
        <v>183071</v>
      </c>
    </row>
    <row r="5732" spans="1:2" x14ac:dyDescent="0.25">
      <c r="A5732" t="s">
        <v>8272</v>
      </c>
      <c r="B5732">
        <v>182829</v>
      </c>
    </row>
    <row r="5733" spans="1:2" x14ac:dyDescent="0.25">
      <c r="A5733" t="s">
        <v>8273</v>
      </c>
      <c r="B5733">
        <v>183044</v>
      </c>
    </row>
    <row r="5734" spans="1:2" x14ac:dyDescent="0.25">
      <c r="A5734" t="s">
        <v>8274</v>
      </c>
      <c r="B5734">
        <v>129941</v>
      </c>
    </row>
    <row r="5735" spans="1:2" x14ac:dyDescent="0.25">
      <c r="A5735" t="s">
        <v>8275</v>
      </c>
      <c r="B5735">
        <v>187958</v>
      </c>
    </row>
    <row r="5736" spans="1:2" x14ac:dyDescent="0.25">
      <c r="A5736" t="s">
        <v>8276</v>
      </c>
      <c r="B5736">
        <v>187976</v>
      </c>
    </row>
    <row r="5737" spans="1:2" x14ac:dyDescent="0.25">
      <c r="A5737" t="s">
        <v>8277</v>
      </c>
      <c r="B5737">
        <v>187985</v>
      </c>
    </row>
    <row r="5738" spans="1:2" x14ac:dyDescent="0.25">
      <c r="A5738" t="s">
        <v>8278</v>
      </c>
      <c r="B5738">
        <v>188225</v>
      </c>
    </row>
    <row r="5739" spans="1:2" x14ac:dyDescent="0.25">
      <c r="A5739" t="s">
        <v>8279</v>
      </c>
      <c r="B5739">
        <v>188049</v>
      </c>
    </row>
    <row r="5740" spans="1:2" x14ac:dyDescent="0.25">
      <c r="A5740" t="s">
        <v>8280</v>
      </c>
      <c r="B5740">
        <v>159939</v>
      </c>
    </row>
    <row r="5741" spans="1:2" x14ac:dyDescent="0.25">
      <c r="A5741" t="s">
        <v>8281</v>
      </c>
      <c r="B5741">
        <v>101879</v>
      </c>
    </row>
    <row r="5742" spans="1:2" x14ac:dyDescent="0.25">
      <c r="A5742" t="s">
        <v>8282</v>
      </c>
      <c r="B5742">
        <v>199111</v>
      </c>
    </row>
    <row r="5743" spans="1:2" x14ac:dyDescent="0.25">
      <c r="A5743" t="s">
        <v>8283</v>
      </c>
      <c r="B5743">
        <v>199120</v>
      </c>
    </row>
    <row r="5744" spans="1:2" x14ac:dyDescent="0.25">
      <c r="A5744" t="s">
        <v>8284</v>
      </c>
      <c r="B5744">
        <v>199139</v>
      </c>
    </row>
    <row r="5745" spans="1:2" x14ac:dyDescent="0.25">
      <c r="A5745" t="s">
        <v>8285</v>
      </c>
      <c r="B5745">
        <v>199148</v>
      </c>
    </row>
    <row r="5746" spans="1:2" x14ac:dyDescent="0.25">
      <c r="A5746" t="s">
        <v>8286</v>
      </c>
      <c r="B5746">
        <v>199281</v>
      </c>
    </row>
    <row r="5747" spans="1:2" x14ac:dyDescent="0.25">
      <c r="A5747" t="s">
        <v>8287</v>
      </c>
      <c r="B5747">
        <v>199184</v>
      </c>
    </row>
    <row r="5748" spans="1:2" x14ac:dyDescent="0.25">
      <c r="A5748" t="s">
        <v>8288</v>
      </c>
      <c r="B5748">
        <v>199175</v>
      </c>
    </row>
    <row r="5749" spans="1:2" x14ac:dyDescent="0.25">
      <c r="A5749" t="s">
        <v>8289</v>
      </c>
      <c r="B5749">
        <v>199218</v>
      </c>
    </row>
    <row r="5750" spans="1:2" x14ac:dyDescent="0.25">
      <c r="A5750" t="s">
        <v>8290</v>
      </c>
      <c r="B5750">
        <v>200280</v>
      </c>
    </row>
    <row r="5751" spans="1:2" x14ac:dyDescent="0.25">
      <c r="A5751" t="s">
        <v>8291</v>
      </c>
      <c r="B5751">
        <v>136172</v>
      </c>
    </row>
    <row r="5752" spans="1:2" x14ac:dyDescent="0.25">
      <c r="A5752" t="s">
        <v>8292</v>
      </c>
      <c r="B5752">
        <v>482680</v>
      </c>
    </row>
    <row r="5753" spans="1:2" x14ac:dyDescent="0.25">
      <c r="A5753" t="s">
        <v>8293</v>
      </c>
      <c r="B5753">
        <v>227216</v>
      </c>
    </row>
    <row r="5754" spans="1:2" x14ac:dyDescent="0.25">
      <c r="A5754" t="s">
        <v>8294</v>
      </c>
      <c r="B5754">
        <v>484905</v>
      </c>
    </row>
    <row r="5755" spans="1:2" x14ac:dyDescent="0.25">
      <c r="A5755" t="s">
        <v>8295</v>
      </c>
      <c r="B5755">
        <v>228909</v>
      </c>
    </row>
    <row r="5756" spans="1:2" x14ac:dyDescent="0.25">
      <c r="A5756" t="s">
        <v>8296</v>
      </c>
      <c r="B5756">
        <v>443711</v>
      </c>
    </row>
    <row r="5757" spans="1:2" x14ac:dyDescent="0.25">
      <c r="A5757" t="s">
        <v>8297</v>
      </c>
      <c r="B5757">
        <v>127741</v>
      </c>
    </row>
    <row r="5758" spans="1:2" x14ac:dyDescent="0.25">
      <c r="A5758" t="s">
        <v>8298</v>
      </c>
      <c r="B5758">
        <v>154095</v>
      </c>
    </row>
    <row r="5759" spans="1:2" x14ac:dyDescent="0.25">
      <c r="A5759" t="s">
        <v>8299</v>
      </c>
      <c r="B5759">
        <v>204486</v>
      </c>
    </row>
    <row r="5760" spans="1:2" x14ac:dyDescent="0.25">
      <c r="A5760" t="s">
        <v>8300</v>
      </c>
      <c r="B5760">
        <v>174491</v>
      </c>
    </row>
    <row r="5761" spans="1:2" x14ac:dyDescent="0.25">
      <c r="A5761" t="s">
        <v>8301</v>
      </c>
      <c r="B5761">
        <v>152080</v>
      </c>
    </row>
    <row r="5762" spans="1:2" x14ac:dyDescent="0.25">
      <c r="A5762" t="s">
        <v>8302</v>
      </c>
      <c r="B5762">
        <v>207342</v>
      </c>
    </row>
    <row r="5763" spans="1:2" x14ac:dyDescent="0.25">
      <c r="A5763" t="s">
        <v>8303</v>
      </c>
      <c r="B5763">
        <v>207500</v>
      </c>
    </row>
    <row r="5764" spans="1:2" x14ac:dyDescent="0.25">
      <c r="A5764" t="s">
        <v>8304</v>
      </c>
      <c r="B5764">
        <v>209551</v>
      </c>
    </row>
    <row r="5765" spans="1:2" x14ac:dyDescent="0.25">
      <c r="A5765" t="s">
        <v>8305</v>
      </c>
      <c r="B5765">
        <v>215062</v>
      </c>
    </row>
    <row r="5766" spans="1:2" x14ac:dyDescent="0.25">
      <c r="A5766" t="s">
        <v>8306</v>
      </c>
      <c r="B5766">
        <v>484613</v>
      </c>
    </row>
    <row r="5767" spans="1:2" x14ac:dyDescent="0.25">
      <c r="A5767" t="s">
        <v>8307</v>
      </c>
      <c r="B5767">
        <v>484631</v>
      </c>
    </row>
    <row r="5768" spans="1:2" x14ac:dyDescent="0.25">
      <c r="A5768" t="s">
        <v>8308</v>
      </c>
      <c r="B5768">
        <v>484668</v>
      </c>
    </row>
    <row r="5769" spans="1:2" x14ac:dyDescent="0.25">
      <c r="A5769" t="s">
        <v>8309</v>
      </c>
      <c r="B5769">
        <v>484677</v>
      </c>
    </row>
    <row r="5770" spans="1:2" x14ac:dyDescent="0.25">
      <c r="A5770" t="s">
        <v>8310</v>
      </c>
      <c r="B5770">
        <v>420042</v>
      </c>
    </row>
    <row r="5771" spans="1:2" x14ac:dyDescent="0.25">
      <c r="A5771" t="s">
        <v>8311</v>
      </c>
      <c r="B5771">
        <v>442161</v>
      </c>
    </row>
    <row r="5772" spans="1:2" x14ac:dyDescent="0.25">
      <c r="A5772" t="s">
        <v>8312</v>
      </c>
      <c r="B5772">
        <v>484710</v>
      </c>
    </row>
    <row r="5773" spans="1:2" x14ac:dyDescent="0.25">
      <c r="A5773" t="s">
        <v>8313</v>
      </c>
      <c r="B5773">
        <v>445300</v>
      </c>
    </row>
    <row r="5774" spans="1:2" x14ac:dyDescent="0.25">
      <c r="A5774" t="s">
        <v>8314</v>
      </c>
      <c r="B5774">
        <v>484756</v>
      </c>
    </row>
    <row r="5775" spans="1:2" x14ac:dyDescent="0.25">
      <c r="A5775" t="s">
        <v>8315</v>
      </c>
      <c r="B5775">
        <v>380465</v>
      </c>
    </row>
    <row r="5776" spans="1:2" x14ac:dyDescent="0.25">
      <c r="A5776" t="s">
        <v>8316</v>
      </c>
      <c r="B5776">
        <v>157535</v>
      </c>
    </row>
    <row r="5777" spans="1:2" x14ac:dyDescent="0.25">
      <c r="A5777" t="s">
        <v>8317</v>
      </c>
      <c r="B5777">
        <v>215266</v>
      </c>
    </row>
    <row r="5778" spans="1:2" x14ac:dyDescent="0.25">
      <c r="A5778" t="s">
        <v>8318</v>
      </c>
      <c r="B5778">
        <v>215275</v>
      </c>
    </row>
    <row r="5779" spans="1:2" x14ac:dyDescent="0.25">
      <c r="A5779" t="s">
        <v>8319</v>
      </c>
      <c r="B5779">
        <v>215284</v>
      </c>
    </row>
    <row r="5780" spans="1:2" x14ac:dyDescent="0.25">
      <c r="A5780" t="s">
        <v>8320</v>
      </c>
      <c r="B5780">
        <v>215293</v>
      </c>
    </row>
    <row r="5781" spans="1:2" x14ac:dyDescent="0.25">
      <c r="A5781" t="s">
        <v>8321</v>
      </c>
      <c r="B5781">
        <v>215309</v>
      </c>
    </row>
    <row r="5782" spans="1:2" x14ac:dyDescent="0.25">
      <c r="A5782" t="s">
        <v>8322</v>
      </c>
      <c r="B5782">
        <v>209825</v>
      </c>
    </row>
    <row r="5783" spans="1:2" x14ac:dyDescent="0.25">
      <c r="A5783" t="s">
        <v>8323</v>
      </c>
      <c r="B5783">
        <v>180258</v>
      </c>
    </row>
    <row r="5784" spans="1:2" x14ac:dyDescent="0.25">
      <c r="A5784" t="s">
        <v>8324</v>
      </c>
      <c r="B5784">
        <v>243212</v>
      </c>
    </row>
    <row r="5785" spans="1:2" x14ac:dyDescent="0.25">
      <c r="A5785" t="s">
        <v>8325</v>
      </c>
      <c r="B5785">
        <v>243106</v>
      </c>
    </row>
    <row r="5786" spans="1:2" x14ac:dyDescent="0.25">
      <c r="A5786" t="s">
        <v>8326</v>
      </c>
      <c r="B5786">
        <v>243115</v>
      </c>
    </row>
    <row r="5787" spans="1:2" x14ac:dyDescent="0.25">
      <c r="A5787" t="s">
        <v>8327</v>
      </c>
      <c r="B5787">
        <v>243133</v>
      </c>
    </row>
    <row r="5788" spans="1:2" x14ac:dyDescent="0.25">
      <c r="A5788" t="s">
        <v>8328</v>
      </c>
      <c r="B5788">
        <v>243142</v>
      </c>
    </row>
    <row r="5789" spans="1:2" x14ac:dyDescent="0.25">
      <c r="A5789" t="s">
        <v>8329</v>
      </c>
      <c r="B5789">
        <v>243151</v>
      </c>
    </row>
    <row r="5790" spans="1:2" x14ac:dyDescent="0.25">
      <c r="A5790" t="s">
        <v>8330</v>
      </c>
      <c r="B5790">
        <v>243160</v>
      </c>
    </row>
    <row r="5791" spans="1:2" x14ac:dyDescent="0.25">
      <c r="A5791" t="s">
        <v>8331</v>
      </c>
      <c r="B5791">
        <v>243179</v>
      </c>
    </row>
    <row r="5792" spans="1:2" x14ac:dyDescent="0.25">
      <c r="A5792" t="s">
        <v>8332</v>
      </c>
      <c r="B5792">
        <v>243197</v>
      </c>
    </row>
    <row r="5793" spans="1:2" x14ac:dyDescent="0.25">
      <c r="A5793" t="s">
        <v>8333</v>
      </c>
      <c r="B5793">
        <v>243203</v>
      </c>
    </row>
    <row r="5794" spans="1:2" x14ac:dyDescent="0.25">
      <c r="A5794" t="s">
        <v>8334</v>
      </c>
      <c r="B5794">
        <v>243221</v>
      </c>
    </row>
    <row r="5795" spans="1:2" x14ac:dyDescent="0.25">
      <c r="A5795" t="s">
        <v>8335</v>
      </c>
      <c r="B5795">
        <v>243188</v>
      </c>
    </row>
    <row r="5796" spans="1:2" x14ac:dyDescent="0.25">
      <c r="A5796" t="s">
        <v>8336</v>
      </c>
      <c r="B5796">
        <v>236328</v>
      </c>
    </row>
    <row r="5797" spans="1:2" x14ac:dyDescent="0.25">
      <c r="A5797" t="s">
        <v>8337</v>
      </c>
      <c r="B5797">
        <v>121691</v>
      </c>
    </row>
    <row r="5798" spans="1:2" x14ac:dyDescent="0.25">
      <c r="A5798" t="s">
        <v>8338</v>
      </c>
      <c r="B5798">
        <v>217484</v>
      </c>
    </row>
    <row r="5799" spans="1:2" x14ac:dyDescent="0.25">
      <c r="A5799" t="s">
        <v>8339</v>
      </c>
      <c r="B5799">
        <v>233374</v>
      </c>
    </row>
    <row r="5800" spans="1:2" x14ac:dyDescent="0.25">
      <c r="A5800" t="s">
        <v>8340</v>
      </c>
      <c r="B5800">
        <v>205203</v>
      </c>
    </row>
    <row r="5801" spans="1:2" x14ac:dyDescent="0.25">
      <c r="A5801" t="s">
        <v>8341</v>
      </c>
      <c r="B5801">
        <v>195030</v>
      </c>
    </row>
    <row r="5802" spans="1:2" x14ac:dyDescent="0.25">
      <c r="A5802" t="s">
        <v>8342</v>
      </c>
      <c r="B5802">
        <v>152336</v>
      </c>
    </row>
    <row r="5803" spans="1:2" x14ac:dyDescent="0.25">
      <c r="A5803" t="s">
        <v>8343</v>
      </c>
      <c r="B5803">
        <v>130314</v>
      </c>
    </row>
    <row r="5804" spans="1:2" x14ac:dyDescent="0.25">
      <c r="A5804" t="s">
        <v>8344</v>
      </c>
      <c r="B5804">
        <v>488785</v>
      </c>
    </row>
    <row r="5805" spans="1:2" x14ac:dyDescent="0.25">
      <c r="A5805" t="s">
        <v>8345</v>
      </c>
      <c r="B5805">
        <v>155812</v>
      </c>
    </row>
    <row r="5806" spans="1:2" x14ac:dyDescent="0.25">
      <c r="A5806" t="s">
        <v>8346</v>
      </c>
      <c r="B5806">
        <v>148885</v>
      </c>
    </row>
    <row r="5807" spans="1:2" x14ac:dyDescent="0.25">
      <c r="A5807" t="s">
        <v>8347</v>
      </c>
      <c r="B5807">
        <v>122436</v>
      </c>
    </row>
    <row r="5808" spans="1:2" x14ac:dyDescent="0.25">
      <c r="A5808" t="s">
        <v>8348</v>
      </c>
      <c r="B5808">
        <v>122612</v>
      </c>
    </row>
    <row r="5809" spans="1:2" x14ac:dyDescent="0.25">
      <c r="A5809" t="s">
        <v>8349</v>
      </c>
      <c r="B5809">
        <v>207722</v>
      </c>
    </row>
    <row r="5810" spans="1:2" x14ac:dyDescent="0.25">
      <c r="A5810" t="s">
        <v>8350</v>
      </c>
      <c r="B5810">
        <v>215929</v>
      </c>
    </row>
    <row r="5811" spans="1:2" x14ac:dyDescent="0.25">
      <c r="A5811" t="s">
        <v>8351</v>
      </c>
      <c r="B5811">
        <v>112394</v>
      </c>
    </row>
    <row r="5812" spans="1:2" x14ac:dyDescent="0.25">
      <c r="A5812" t="s">
        <v>8352</v>
      </c>
      <c r="B5812">
        <v>219383</v>
      </c>
    </row>
    <row r="5813" spans="1:2" x14ac:dyDescent="0.25">
      <c r="A5813" t="s">
        <v>8353</v>
      </c>
      <c r="B5813">
        <v>102094</v>
      </c>
    </row>
    <row r="5814" spans="1:2" x14ac:dyDescent="0.25">
      <c r="A5814" t="s">
        <v>8354</v>
      </c>
      <c r="B5814">
        <v>218645</v>
      </c>
    </row>
    <row r="5815" spans="1:2" x14ac:dyDescent="0.25">
      <c r="A5815" t="s">
        <v>8355</v>
      </c>
      <c r="B5815">
        <v>218654</v>
      </c>
    </row>
    <row r="5816" spans="1:2" x14ac:dyDescent="0.25">
      <c r="A5816" t="s">
        <v>8356</v>
      </c>
      <c r="B5816">
        <v>218663</v>
      </c>
    </row>
    <row r="5817" spans="1:2" x14ac:dyDescent="0.25">
      <c r="A5817" t="s">
        <v>8357</v>
      </c>
      <c r="B5817">
        <v>218672</v>
      </c>
    </row>
    <row r="5818" spans="1:2" x14ac:dyDescent="0.25">
      <c r="A5818" t="s">
        <v>8358</v>
      </c>
      <c r="B5818">
        <v>218681</v>
      </c>
    </row>
    <row r="5819" spans="1:2" x14ac:dyDescent="0.25">
      <c r="A5819" t="s">
        <v>8359</v>
      </c>
      <c r="B5819">
        <v>218690</v>
      </c>
    </row>
    <row r="5820" spans="1:2" x14ac:dyDescent="0.25">
      <c r="A5820" t="s">
        <v>8360</v>
      </c>
      <c r="B5820">
        <v>218706</v>
      </c>
    </row>
    <row r="5821" spans="1:2" x14ac:dyDescent="0.25">
      <c r="A5821" t="s">
        <v>8361</v>
      </c>
      <c r="B5821">
        <v>218742</v>
      </c>
    </row>
    <row r="5822" spans="1:2" x14ac:dyDescent="0.25">
      <c r="A5822" t="s">
        <v>8362</v>
      </c>
      <c r="B5822">
        <v>219471</v>
      </c>
    </row>
    <row r="5823" spans="1:2" x14ac:dyDescent="0.25">
      <c r="A5823" t="s">
        <v>8363</v>
      </c>
      <c r="B5823">
        <v>137351</v>
      </c>
    </row>
    <row r="5824" spans="1:2" x14ac:dyDescent="0.25">
      <c r="A5824" t="s">
        <v>8364</v>
      </c>
      <c r="B5824">
        <v>123961</v>
      </c>
    </row>
    <row r="5825" spans="1:2" x14ac:dyDescent="0.25">
      <c r="A5825" t="s">
        <v>8365</v>
      </c>
      <c r="B5825">
        <v>151306</v>
      </c>
    </row>
    <row r="5826" spans="1:2" x14ac:dyDescent="0.25">
      <c r="A5826" t="s">
        <v>8366</v>
      </c>
      <c r="B5826">
        <v>161554</v>
      </c>
    </row>
    <row r="5827" spans="1:2" x14ac:dyDescent="0.25">
      <c r="A5827" t="s">
        <v>8367</v>
      </c>
      <c r="B5827">
        <v>176372</v>
      </c>
    </row>
    <row r="5828" spans="1:2" x14ac:dyDescent="0.25">
      <c r="A5828" t="s">
        <v>8368</v>
      </c>
      <c r="B5828">
        <v>149550</v>
      </c>
    </row>
    <row r="5829" spans="1:2" x14ac:dyDescent="0.25">
      <c r="A5829" t="s">
        <v>8369</v>
      </c>
      <c r="B5829">
        <v>148584</v>
      </c>
    </row>
    <row r="5830" spans="1:2" x14ac:dyDescent="0.25">
      <c r="A5830" t="s">
        <v>8370</v>
      </c>
      <c r="B5830">
        <v>174914</v>
      </c>
    </row>
    <row r="5831" spans="1:2" x14ac:dyDescent="0.25">
      <c r="A5831" t="s">
        <v>8370</v>
      </c>
      <c r="B5831">
        <v>227863</v>
      </c>
    </row>
    <row r="5832" spans="1:2" x14ac:dyDescent="0.25">
      <c r="A5832" t="s">
        <v>8371</v>
      </c>
      <c r="B5832">
        <v>367954</v>
      </c>
    </row>
    <row r="5833" spans="1:2" x14ac:dyDescent="0.25">
      <c r="A5833" t="s">
        <v>8372</v>
      </c>
      <c r="B5833">
        <v>485537</v>
      </c>
    </row>
    <row r="5834" spans="1:2" x14ac:dyDescent="0.25">
      <c r="A5834" t="s">
        <v>8373</v>
      </c>
      <c r="B5834">
        <v>228635</v>
      </c>
    </row>
    <row r="5835" spans="1:2" x14ac:dyDescent="0.25">
      <c r="A5835" t="s">
        <v>8374</v>
      </c>
      <c r="B5835">
        <v>156541</v>
      </c>
    </row>
    <row r="5836" spans="1:2" x14ac:dyDescent="0.25">
      <c r="A5836" t="s">
        <v>8375</v>
      </c>
      <c r="B5836">
        <v>131399</v>
      </c>
    </row>
    <row r="5837" spans="1:2" x14ac:dyDescent="0.25">
      <c r="A5837" t="s">
        <v>8376</v>
      </c>
      <c r="B5837">
        <v>363721</v>
      </c>
    </row>
    <row r="5838" spans="1:2" x14ac:dyDescent="0.25">
      <c r="A5838" t="s">
        <v>8377</v>
      </c>
      <c r="B5838">
        <v>225627</v>
      </c>
    </row>
    <row r="5839" spans="1:2" x14ac:dyDescent="0.25">
      <c r="A5839" t="s">
        <v>8378</v>
      </c>
      <c r="B5839">
        <v>107558</v>
      </c>
    </row>
    <row r="5840" spans="1:2" x14ac:dyDescent="0.25">
      <c r="A5840" t="s">
        <v>8379</v>
      </c>
      <c r="B5840">
        <v>120883</v>
      </c>
    </row>
    <row r="5841" spans="1:2" x14ac:dyDescent="0.25">
      <c r="A5841" t="s">
        <v>8380</v>
      </c>
      <c r="B5841">
        <v>488846</v>
      </c>
    </row>
    <row r="5842" spans="1:2" x14ac:dyDescent="0.25">
      <c r="A5842" t="s">
        <v>8381</v>
      </c>
      <c r="B5842">
        <v>442639</v>
      </c>
    </row>
    <row r="5843" spans="1:2" x14ac:dyDescent="0.25">
      <c r="A5843" t="s">
        <v>8382</v>
      </c>
      <c r="B5843">
        <v>384412</v>
      </c>
    </row>
    <row r="5844" spans="1:2" x14ac:dyDescent="0.25">
      <c r="A5844" t="s">
        <v>8383</v>
      </c>
      <c r="B5844">
        <v>215132</v>
      </c>
    </row>
    <row r="5845" spans="1:2" x14ac:dyDescent="0.25">
      <c r="A5845" t="s">
        <v>8384</v>
      </c>
      <c r="B5845">
        <v>188182</v>
      </c>
    </row>
    <row r="5846" spans="1:2" x14ac:dyDescent="0.25">
      <c r="A5846" t="s">
        <v>8385</v>
      </c>
      <c r="B5846">
        <v>243665</v>
      </c>
    </row>
    <row r="5847" spans="1:2" x14ac:dyDescent="0.25">
      <c r="A5847" t="s">
        <v>8386</v>
      </c>
      <c r="B5847">
        <v>449870</v>
      </c>
    </row>
    <row r="5848" spans="1:2" x14ac:dyDescent="0.25">
      <c r="A5848" t="s">
        <v>8387</v>
      </c>
      <c r="B5848">
        <v>206084</v>
      </c>
    </row>
    <row r="5849" spans="1:2" x14ac:dyDescent="0.25">
      <c r="A5849" t="s">
        <v>8388</v>
      </c>
      <c r="B5849">
        <v>207971</v>
      </c>
    </row>
    <row r="5850" spans="1:2" x14ac:dyDescent="0.25">
      <c r="A5850" t="s">
        <v>8389</v>
      </c>
      <c r="B5850">
        <v>230764</v>
      </c>
    </row>
    <row r="5851" spans="1:2" x14ac:dyDescent="0.25">
      <c r="A5851" t="s">
        <v>8390</v>
      </c>
      <c r="B5851">
        <v>216542</v>
      </c>
    </row>
    <row r="5852" spans="1:2" x14ac:dyDescent="0.25">
      <c r="A5852" t="s">
        <v>8391</v>
      </c>
      <c r="B5852">
        <v>231174</v>
      </c>
    </row>
    <row r="5853" spans="1:2" x14ac:dyDescent="0.25">
      <c r="A5853" t="s">
        <v>8392</v>
      </c>
      <c r="B5853">
        <v>234076</v>
      </c>
    </row>
    <row r="5854" spans="1:2" x14ac:dyDescent="0.25">
      <c r="A5854" t="s">
        <v>8393</v>
      </c>
      <c r="B5854">
        <v>233897</v>
      </c>
    </row>
    <row r="5855" spans="1:2" x14ac:dyDescent="0.25">
      <c r="A5855" t="s">
        <v>8394</v>
      </c>
      <c r="B5855">
        <v>377555</v>
      </c>
    </row>
    <row r="5856" spans="1:2" x14ac:dyDescent="0.25">
      <c r="A5856" t="s">
        <v>8395</v>
      </c>
      <c r="B5856">
        <v>236948</v>
      </c>
    </row>
    <row r="5857" spans="1:2" x14ac:dyDescent="0.25">
      <c r="A5857" t="s">
        <v>8396</v>
      </c>
      <c r="B5857">
        <v>377564</v>
      </c>
    </row>
    <row r="5858" spans="1:2" x14ac:dyDescent="0.25">
      <c r="A5858" t="s">
        <v>8397</v>
      </c>
      <c r="B5858">
        <v>101587</v>
      </c>
    </row>
    <row r="5859" spans="1:2" x14ac:dyDescent="0.25">
      <c r="A5859" t="s">
        <v>8398</v>
      </c>
      <c r="B5859">
        <v>141334</v>
      </c>
    </row>
    <row r="5860" spans="1:2" x14ac:dyDescent="0.25">
      <c r="A5860" t="s">
        <v>8399</v>
      </c>
      <c r="B5860">
        <v>484862</v>
      </c>
    </row>
    <row r="5861" spans="1:2" x14ac:dyDescent="0.25">
      <c r="A5861" t="s">
        <v>8400</v>
      </c>
      <c r="B5861">
        <v>210438</v>
      </c>
    </row>
    <row r="5862" spans="1:2" x14ac:dyDescent="0.25">
      <c r="A5862" t="s">
        <v>8401</v>
      </c>
      <c r="B5862">
        <v>240268</v>
      </c>
    </row>
    <row r="5863" spans="1:2" x14ac:dyDescent="0.25">
      <c r="A5863" t="s">
        <v>8402</v>
      </c>
      <c r="B5863">
        <v>240277</v>
      </c>
    </row>
    <row r="5864" spans="1:2" x14ac:dyDescent="0.25">
      <c r="A5864" t="s">
        <v>8403</v>
      </c>
      <c r="B5864">
        <v>240329</v>
      </c>
    </row>
    <row r="5865" spans="1:2" x14ac:dyDescent="0.25">
      <c r="A5865" t="s">
        <v>8404</v>
      </c>
      <c r="B5865">
        <v>240444</v>
      </c>
    </row>
    <row r="5866" spans="1:2" x14ac:dyDescent="0.25">
      <c r="A5866" t="s">
        <v>8405</v>
      </c>
      <c r="B5866">
        <v>240453</v>
      </c>
    </row>
    <row r="5867" spans="1:2" x14ac:dyDescent="0.25">
      <c r="A5867" t="s">
        <v>8406</v>
      </c>
      <c r="B5867">
        <v>491288</v>
      </c>
    </row>
    <row r="5868" spans="1:2" x14ac:dyDescent="0.25">
      <c r="A5868" t="s">
        <v>8407</v>
      </c>
      <c r="B5868">
        <v>240365</v>
      </c>
    </row>
    <row r="5869" spans="1:2" x14ac:dyDescent="0.25">
      <c r="A5869" t="s">
        <v>8408</v>
      </c>
      <c r="B5869">
        <v>240374</v>
      </c>
    </row>
    <row r="5870" spans="1:2" x14ac:dyDescent="0.25">
      <c r="A5870" t="s">
        <v>8409</v>
      </c>
      <c r="B5870">
        <v>491297</v>
      </c>
    </row>
    <row r="5871" spans="1:2" x14ac:dyDescent="0.25">
      <c r="A5871" t="s">
        <v>8410</v>
      </c>
      <c r="B5871">
        <v>240462</v>
      </c>
    </row>
    <row r="5872" spans="1:2" x14ac:dyDescent="0.25">
      <c r="A5872" t="s">
        <v>8411</v>
      </c>
      <c r="B5872">
        <v>240471</v>
      </c>
    </row>
    <row r="5873" spans="1:2" x14ac:dyDescent="0.25">
      <c r="A5873" t="s">
        <v>8412</v>
      </c>
      <c r="B5873">
        <v>240480</v>
      </c>
    </row>
    <row r="5874" spans="1:2" x14ac:dyDescent="0.25">
      <c r="A5874" t="s">
        <v>8413</v>
      </c>
      <c r="B5874">
        <v>240417</v>
      </c>
    </row>
    <row r="5875" spans="1:2" x14ac:dyDescent="0.25">
      <c r="A5875" t="s">
        <v>8414</v>
      </c>
      <c r="B5875">
        <v>240426</v>
      </c>
    </row>
    <row r="5876" spans="1:2" x14ac:dyDescent="0.25">
      <c r="A5876" t="s">
        <v>8415</v>
      </c>
      <c r="B5876">
        <v>240435</v>
      </c>
    </row>
    <row r="5877" spans="1:2" x14ac:dyDescent="0.25">
      <c r="A5877" t="s">
        <v>8416</v>
      </c>
      <c r="B5877">
        <v>240189</v>
      </c>
    </row>
    <row r="5878" spans="1:2" x14ac:dyDescent="0.25">
      <c r="A5878" t="s">
        <v>8417</v>
      </c>
      <c r="B5878">
        <v>240727</v>
      </c>
    </row>
    <row r="5879" spans="1:2" x14ac:dyDescent="0.25">
      <c r="A5879" t="s">
        <v>8418</v>
      </c>
      <c r="B5879">
        <v>164146</v>
      </c>
    </row>
    <row r="5880" spans="1:2" x14ac:dyDescent="0.25">
      <c r="A5880" t="s">
        <v>8419</v>
      </c>
      <c r="B5880">
        <v>404480</v>
      </c>
    </row>
    <row r="5881" spans="1:2" x14ac:dyDescent="0.25">
      <c r="A5881" t="s">
        <v>8420</v>
      </c>
      <c r="B5881">
        <v>183327</v>
      </c>
    </row>
    <row r="5882" spans="1:2" x14ac:dyDescent="0.25">
      <c r="A5882" t="s">
        <v>8421</v>
      </c>
      <c r="B5882">
        <v>491233</v>
      </c>
    </row>
    <row r="5883" spans="1:2" x14ac:dyDescent="0.25">
      <c r="A5883" t="s">
        <v>8422</v>
      </c>
      <c r="B5883">
        <v>213163</v>
      </c>
    </row>
    <row r="5884" spans="1:2" x14ac:dyDescent="0.25">
      <c r="A5884" t="s">
        <v>8839</v>
      </c>
      <c r="B5884">
        <v>496858</v>
      </c>
    </row>
    <row r="5885" spans="1:2" x14ac:dyDescent="0.25">
      <c r="A5885" t="s">
        <v>8423</v>
      </c>
      <c r="B5885">
        <v>431600</v>
      </c>
    </row>
    <row r="5886" spans="1:2" x14ac:dyDescent="0.25">
      <c r="A5886" t="s">
        <v>8424</v>
      </c>
      <c r="B5886">
        <v>215974</v>
      </c>
    </row>
    <row r="5887" spans="1:2" x14ac:dyDescent="0.25">
      <c r="A5887" t="s">
        <v>8425</v>
      </c>
      <c r="B5887">
        <v>213622</v>
      </c>
    </row>
    <row r="5888" spans="1:2" x14ac:dyDescent="0.25">
      <c r="A5888" t="s">
        <v>8426</v>
      </c>
      <c r="B5888">
        <v>373711</v>
      </c>
    </row>
    <row r="5889" spans="1:2" x14ac:dyDescent="0.25">
      <c r="A5889" t="s">
        <v>8427</v>
      </c>
      <c r="B5889">
        <v>154493</v>
      </c>
    </row>
    <row r="5890" spans="1:2" x14ac:dyDescent="0.25">
      <c r="A5890" t="s">
        <v>8428</v>
      </c>
      <c r="B5890">
        <v>206321</v>
      </c>
    </row>
    <row r="5891" spans="1:2" x14ac:dyDescent="0.25">
      <c r="A5891" t="s">
        <v>8429</v>
      </c>
      <c r="B5891">
        <v>440004</v>
      </c>
    </row>
    <row r="5892" spans="1:2" x14ac:dyDescent="0.25">
      <c r="A5892" t="s">
        <v>8430</v>
      </c>
      <c r="B5892">
        <v>196307</v>
      </c>
    </row>
    <row r="5893" spans="1:2" x14ac:dyDescent="0.25">
      <c r="A5893" t="s">
        <v>8431</v>
      </c>
      <c r="B5893">
        <v>491747</v>
      </c>
    </row>
    <row r="5894" spans="1:2" x14ac:dyDescent="0.25">
      <c r="A5894" t="s">
        <v>8432</v>
      </c>
      <c r="B5894">
        <v>491756</v>
      </c>
    </row>
    <row r="5895" spans="1:2" x14ac:dyDescent="0.25">
      <c r="A5895" t="s">
        <v>8433</v>
      </c>
      <c r="B5895">
        <v>429128</v>
      </c>
    </row>
    <row r="5896" spans="1:2" x14ac:dyDescent="0.25">
      <c r="A5896" t="s">
        <v>8434</v>
      </c>
      <c r="B5896">
        <v>494685</v>
      </c>
    </row>
    <row r="5897" spans="1:2" x14ac:dyDescent="0.25">
      <c r="A5897" t="s">
        <v>8435</v>
      </c>
      <c r="B5897">
        <v>455099</v>
      </c>
    </row>
    <row r="5898" spans="1:2" x14ac:dyDescent="0.25">
      <c r="A5898" t="s">
        <v>8436</v>
      </c>
      <c r="B5898">
        <v>216524</v>
      </c>
    </row>
    <row r="5899" spans="1:2" x14ac:dyDescent="0.25">
      <c r="A5899" t="s">
        <v>8437</v>
      </c>
      <c r="B5899">
        <v>206349</v>
      </c>
    </row>
    <row r="5900" spans="1:2" x14ac:dyDescent="0.25">
      <c r="A5900" t="s">
        <v>8438</v>
      </c>
      <c r="B5900">
        <v>446604</v>
      </c>
    </row>
    <row r="5901" spans="1:2" x14ac:dyDescent="0.25">
      <c r="A5901" t="s">
        <v>8439</v>
      </c>
      <c r="B5901">
        <v>230728</v>
      </c>
    </row>
    <row r="5902" spans="1:2" x14ac:dyDescent="0.25">
      <c r="A5902" t="s">
        <v>8440</v>
      </c>
      <c r="B5902">
        <v>230737</v>
      </c>
    </row>
    <row r="5903" spans="1:2" x14ac:dyDescent="0.25">
      <c r="A5903" t="s">
        <v>8441</v>
      </c>
      <c r="B5903">
        <v>197045</v>
      </c>
    </row>
    <row r="5904" spans="1:2" x14ac:dyDescent="0.25">
      <c r="A5904" t="s">
        <v>8442</v>
      </c>
      <c r="B5904">
        <v>141264</v>
      </c>
    </row>
    <row r="5905" spans="1:2" x14ac:dyDescent="0.25">
      <c r="A5905" t="s">
        <v>8443</v>
      </c>
      <c r="B5905">
        <v>138187</v>
      </c>
    </row>
    <row r="5906" spans="1:2" x14ac:dyDescent="0.25">
      <c r="A5906" t="s">
        <v>8444</v>
      </c>
      <c r="B5906">
        <v>200572</v>
      </c>
    </row>
    <row r="5907" spans="1:2" x14ac:dyDescent="0.25">
      <c r="A5907" t="s">
        <v>8840</v>
      </c>
      <c r="B5907">
        <v>496982</v>
      </c>
    </row>
    <row r="5908" spans="1:2" x14ac:dyDescent="0.25">
      <c r="A5908" t="s">
        <v>8445</v>
      </c>
      <c r="B5908">
        <v>449445</v>
      </c>
    </row>
    <row r="5909" spans="1:2" x14ac:dyDescent="0.25">
      <c r="A5909" t="s">
        <v>8446</v>
      </c>
      <c r="B5909">
        <v>377652</v>
      </c>
    </row>
    <row r="5910" spans="1:2" x14ac:dyDescent="0.25">
      <c r="A5910" t="s">
        <v>8447</v>
      </c>
      <c r="B5910">
        <v>494250</v>
      </c>
    </row>
    <row r="5911" spans="1:2" x14ac:dyDescent="0.25">
      <c r="A5911" t="s">
        <v>8448</v>
      </c>
      <c r="B5911">
        <v>377661</v>
      </c>
    </row>
    <row r="5912" spans="1:2" x14ac:dyDescent="0.25">
      <c r="A5912" t="s">
        <v>8449</v>
      </c>
      <c r="B5912">
        <v>216551</v>
      </c>
    </row>
    <row r="5913" spans="1:2" x14ac:dyDescent="0.25">
      <c r="A5913" t="s">
        <v>8450</v>
      </c>
      <c r="B5913">
        <v>443322</v>
      </c>
    </row>
    <row r="5914" spans="1:2" x14ac:dyDescent="0.25">
      <c r="A5914" t="s">
        <v>8451</v>
      </c>
      <c r="B5914">
        <v>486257</v>
      </c>
    </row>
    <row r="5915" spans="1:2" x14ac:dyDescent="0.25">
      <c r="A5915" t="s">
        <v>8452</v>
      </c>
      <c r="B5915">
        <v>152600</v>
      </c>
    </row>
    <row r="5916" spans="1:2" x14ac:dyDescent="0.25">
      <c r="A5916" t="s">
        <v>8453</v>
      </c>
      <c r="B5916">
        <v>199838</v>
      </c>
    </row>
    <row r="5917" spans="1:2" x14ac:dyDescent="0.25">
      <c r="A5917" t="s">
        <v>8454</v>
      </c>
      <c r="B5917">
        <v>221999</v>
      </c>
    </row>
    <row r="5918" spans="1:2" x14ac:dyDescent="0.25">
      <c r="A5918" t="s">
        <v>8455</v>
      </c>
      <c r="B5918">
        <v>149639</v>
      </c>
    </row>
    <row r="5919" spans="1:2" x14ac:dyDescent="0.25">
      <c r="A5919" t="s">
        <v>8456</v>
      </c>
      <c r="B5919">
        <v>456825</v>
      </c>
    </row>
    <row r="5920" spans="1:2" x14ac:dyDescent="0.25">
      <c r="A5920" t="s">
        <v>8457</v>
      </c>
      <c r="B5920">
        <v>468893</v>
      </c>
    </row>
    <row r="5921" spans="1:2" x14ac:dyDescent="0.25">
      <c r="A5921" t="s">
        <v>8458</v>
      </c>
      <c r="B5921">
        <v>123651</v>
      </c>
    </row>
    <row r="5922" spans="1:2" x14ac:dyDescent="0.25">
      <c r="A5922" t="s">
        <v>8459</v>
      </c>
      <c r="B5922">
        <v>421717</v>
      </c>
    </row>
    <row r="5923" spans="1:2" x14ac:dyDescent="0.25">
      <c r="A5923" t="s">
        <v>8460</v>
      </c>
      <c r="B5923">
        <v>418278</v>
      </c>
    </row>
    <row r="5924" spans="1:2" x14ac:dyDescent="0.25">
      <c r="A5924" t="s">
        <v>8461</v>
      </c>
      <c r="B5924">
        <v>197133</v>
      </c>
    </row>
    <row r="5925" spans="1:2" x14ac:dyDescent="0.25">
      <c r="A5925" t="s">
        <v>8462</v>
      </c>
      <c r="B5925">
        <v>176433</v>
      </c>
    </row>
    <row r="5926" spans="1:2" x14ac:dyDescent="0.25">
      <c r="A5926" t="s">
        <v>8463</v>
      </c>
      <c r="B5926">
        <v>188340</v>
      </c>
    </row>
    <row r="5927" spans="1:2" x14ac:dyDescent="0.25">
      <c r="A5927" t="s">
        <v>8464</v>
      </c>
      <c r="B5927">
        <v>417910</v>
      </c>
    </row>
    <row r="5928" spans="1:2" x14ac:dyDescent="0.25">
      <c r="A5928" t="s">
        <v>8465</v>
      </c>
      <c r="B5928">
        <v>108065</v>
      </c>
    </row>
    <row r="5929" spans="1:2" x14ac:dyDescent="0.25">
      <c r="A5929" t="s">
        <v>8466</v>
      </c>
      <c r="B5929">
        <v>418524</v>
      </c>
    </row>
    <row r="5930" spans="1:2" x14ac:dyDescent="0.25">
      <c r="A5930" t="s">
        <v>8467</v>
      </c>
      <c r="B5930">
        <v>417123</v>
      </c>
    </row>
    <row r="5931" spans="1:2" x14ac:dyDescent="0.25">
      <c r="A5931" t="s">
        <v>8468</v>
      </c>
      <c r="B5931">
        <v>125028</v>
      </c>
    </row>
    <row r="5932" spans="1:2" x14ac:dyDescent="0.25">
      <c r="A5932" t="s">
        <v>8469</v>
      </c>
      <c r="B5932">
        <v>125019</v>
      </c>
    </row>
    <row r="5933" spans="1:2" x14ac:dyDescent="0.25">
      <c r="A5933" t="s">
        <v>8470</v>
      </c>
      <c r="B5933">
        <v>216579</v>
      </c>
    </row>
    <row r="5934" spans="1:2" x14ac:dyDescent="0.25">
      <c r="A5934" t="s">
        <v>8471</v>
      </c>
      <c r="B5934">
        <v>482228</v>
      </c>
    </row>
    <row r="5935" spans="1:2" x14ac:dyDescent="0.25">
      <c r="A5935" t="s">
        <v>8472</v>
      </c>
      <c r="B5935">
        <v>175157</v>
      </c>
    </row>
    <row r="5936" spans="1:2" x14ac:dyDescent="0.25">
      <c r="A5936" t="s">
        <v>8473</v>
      </c>
      <c r="B5936">
        <v>455992</v>
      </c>
    </row>
    <row r="5937" spans="1:2" x14ac:dyDescent="0.25">
      <c r="A5937" t="s">
        <v>8474</v>
      </c>
      <c r="B5937">
        <v>231147</v>
      </c>
    </row>
    <row r="5938" spans="1:2" x14ac:dyDescent="0.25">
      <c r="A5938" t="s">
        <v>8475</v>
      </c>
      <c r="B5938">
        <v>231156</v>
      </c>
    </row>
    <row r="5939" spans="1:2" x14ac:dyDescent="0.25">
      <c r="A5939" t="s">
        <v>8476</v>
      </c>
      <c r="B5939">
        <v>231165</v>
      </c>
    </row>
    <row r="5940" spans="1:2" x14ac:dyDescent="0.25">
      <c r="A5940" t="s">
        <v>8477</v>
      </c>
      <c r="B5940">
        <v>229504</v>
      </c>
    </row>
    <row r="5941" spans="1:2" x14ac:dyDescent="0.25">
      <c r="A5941" t="s">
        <v>8478</v>
      </c>
      <c r="B5941">
        <v>481085</v>
      </c>
    </row>
    <row r="5942" spans="1:2" x14ac:dyDescent="0.25">
      <c r="A5942" t="s">
        <v>8479</v>
      </c>
      <c r="B5942">
        <v>213914</v>
      </c>
    </row>
    <row r="5943" spans="1:2" x14ac:dyDescent="0.25">
      <c r="A5943" t="s">
        <v>8480</v>
      </c>
      <c r="B5943">
        <v>223472</v>
      </c>
    </row>
    <row r="5944" spans="1:2" x14ac:dyDescent="0.25">
      <c r="A5944" t="s">
        <v>8481</v>
      </c>
      <c r="B5944">
        <v>485962</v>
      </c>
    </row>
    <row r="5945" spans="1:2" x14ac:dyDescent="0.25">
      <c r="A5945" t="s">
        <v>8482</v>
      </c>
      <c r="B5945">
        <v>483744</v>
      </c>
    </row>
    <row r="5946" spans="1:2" x14ac:dyDescent="0.25">
      <c r="A5946" t="s">
        <v>8483</v>
      </c>
      <c r="B5946">
        <v>238175</v>
      </c>
    </row>
    <row r="5947" spans="1:2" x14ac:dyDescent="0.25">
      <c r="A5947" t="s">
        <v>8484</v>
      </c>
      <c r="B5947">
        <v>125091</v>
      </c>
    </row>
    <row r="5948" spans="1:2" x14ac:dyDescent="0.25">
      <c r="A5948" t="s">
        <v>8485</v>
      </c>
      <c r="B5948">
        <v>229522</v>
      </c>
    </row>
    <row r="5949" spans="1:2" x14ac:dyDescent="0.25">
      <c r="A5949" t="s">
        <v>8486</v>
      </c>
      <c r="B5949">
        <v>229540</v>
      </c>
    </row>
    <row r="5950" spans="1:2" x14ac:dyDescent="0.25">
      <c r="A5950" t="s">
        <v>8487</v>
      </c>
      <c r="B5950">
        <v>451626</v>
      </c>
    </row>
    <row r="5951" spans="1:2" x14ac:dyDescent="0.25">
      <c r="A5951" t="s">
        <v>8488</v>
      </c>
      <c r="B5951">
        <v>491899</v>
      </c>
    </row>
    <row r="5952" spans="1:2" x14ac:dyDescent="0.25">
      <c r="A5952" t="s">
        <v>8489</v>
      </c>
      <c r="B5952">
        <v>197142</v>
      </c>
    </row>
    <row r="5953" spans="1:2" x14ac:dyDescent="0.25">
      <c r="A5953" t="s">
        <v>8490</v>
      </c>
      <c r="B5953">
        <v>216597</v>
      </c>
    </row>
    <row r="5954" spans="1:2" x14ac:dyDescent="0.25">
      <c r="A5954" t="s">
        <v>8491</v>
      </c>
      <c r="B5954">
        <v>152628</v>
      </c>
    </row>
    <row r="5955" spans="1:2" x14ac:dyDescent="0.25">
      <c r="A5955" t="s">
        <v>8492</v>
      </c>
      <c r="B5955">
        <v>152637</v>
      </c>
    </row>
    <row r="5956" spans="1:2" x14ac:dyDescent="0.25">
      <c r="A5956" t="s">
        <v>8493</v>
      </c>
      <c r="B5956">
        <v>377485</v>
      </c>
    </row>
    <row r="5957" spans="1:2" x14ac:dyDescent="0.25">
      <c r="A5957" t="s">
        <v>8494</v>
      </c>
      <c r="B5957">
        <v>449834</v>
      </c>
    </row>
    <row r="5958" spans="1:2" x14ac:dyDescent="0.25">
      <c r="A5958" t="s">
        <v>8495</v>
      </c>
      <c r="B5958">
        <v>234030</v>
      </c>
    </row>
    <row r="5959" spans="1:2" x14ac:dyDescent="0.25">
      <c r="A5959" t="s">
        <v>8496</v>
      </c>
      <c r="B5959">
        <v>233903</v>
      </c>
    </row>
    <row r="5960" spans="1:2" x14ac:dyDescent="0.25">
      <c r="A5960" t="s">
        <v>8497</v>
      </c>
      <c r="B5960">
        <v>234085</v>
      </c>
    </row>
    <row r="5961" spans="1:2" x14ac:dyDescent="0.25">
      <c r="A5961" t="s">
        <v>8498</v>
      </c>
      <c r="B5961">
        <v>233754</v>
      </c>
    </row>
    <row r="5962" spans="1:2" x14ac:dyDescent="0.25">
      <c r="A5962" t="s">
        <v>8499</v>
      </c>
      <c r="B5962">
        <v>233921</v>
      </c>
    </row>
    <row r="5963" spans="1:2" x14ac:dyDescent="0.25">
      <c r="A5963" t="s">
        <v>8500</v>
      </c>
      <c r="B5963">
        <v>234155</v>
      </c>
    </row>
    <row r="5964" spans="1:2" x14ac:dyDescent="0.25">
      <c r="A5964" t="s">
        <v>8501</v>
      </c>
      <c r="B5964">
        <v>234164</v>
      </c>
    </row>
    <row r="5965" spans="1:2" x14ac:dyDescent="0.25">
      <c r="A5965" t="s">
        <v>8502</v>
      </c>
      <c r="B5965">
        <v>490106</v>
      </c>
    </row>
    <row r="5966" spans="1:2" x14ac:dyDescent="0.25">
      <c r="A5966" t="s">
        <v>8841</v>
      </c>
      <c r="B5966">
        <v>496849</v>
      </c>
    </row>
    <row r="5967" spans="1:2" x14ac:dyDescent="0.25">
      <c r="A5967" t="s">
        <v>8503</v>
      </c>
      <c r="B5967">
        <v>234137</v>
      </c>
    </row>
    <row r="5968" spans="1:2" x14ac:dyDescent="0.25">
      <c r="A5968" t="s">
        <v>8504</v>
      </c>
      <c r="B5968">
        <v>234173</v>
      </c>
    </row>
    <row r="5969" spans="1:2" x14ac:dyDescent="0.25">
      <c r="A5969" t="s">
        <v>8505</v>
      </c>
      <c r="B5969">
        <v>233949</v>
      </c>
    </row>
    <row r="5970" spans="1:2" x14ac:dyDescent="0.25">
      <c r="A5970" t="s">
        <v>8506</v>
      </c>
      <c r="B5970">
        <v>449764</v>
      </c>
    </row>
    <row r="5971" spans="1:2" x14ac:dyDescent="0.25">
      <c r="A5971" t="s">
        <v>8507</v>
      </c>
      <c r="B5971">
        <v>492324</v>
      </c>
    </row>
    <row r="5972" spans="1:2" x14ac:dyDescent="0.25">
      <c r="A5972" t="s">
        <v>8508</v>
      </c>
      <c r="B5972">
        <v>365204</v>
      </c>
    </row>
    <row r="5973" spans="1:2" x14ac:dyDescent="0.25">
      <c r="A5973" t="s">
        <v>8509</v>
      </c>
      <c r="B5973">
        <v>377342</v>
      </c>
    </row>
    <row r="5974" spans="1:2" x14ac:dyDescent="0.25">
      <c r="A5974" t="s">
        <v>8510</v>
      </c>
      <c r="B5974">
        <v>240107</v>
      </c>
    </row>
    <row r="5975" spans="1:2" x14ac:dyDescent="0.25">
      <c r="A5975" t="s">
        <v>8511</v>
      </c>
      <c r="B5975">
        <v>476559</v>
      </c>
    </row>
    <row r="5976" spans="1:2" x14ac:dyDescent="0.25">
      <c r="A5976" t="s">
        <v>8512</v>
      </c>
      <c r="B5976">
        <v>229656</v>
      </c>
    </row>
    <row r="5977" spans="1:2" x14ac:dyDescent="0.25">
      <c r="A5977" t="s">
        <v>8513</v>
      </c>
      <c r="B5977">
        <v>476540</v>
      </c>
    </row>
    <row r="5978" spans="1:2" x14ac:dyDescent="0.25">
      <c r="A5978" t="s">
        <v>8514</v>
      </c>
      <c r="B5978">
        <v>188289</v>
      </c>
    </row>
    <row r="5979" spans="1:2" x14ac:dyDescent="0.25">
      <c r="A5979" t="s">
        <v>8515</v>
      </c>
      <c r="B5979">
        <v>491871</v>
      </c>
    </row>
    <row r="5980" spans="1:2" x14ac:dyDescent="0.25">
      <c r="A5980" t="s">
        <v>8516</v>
      </c>
      <c r="B5980">
        <v>222053</v>
      </c>
    </row>
    <row r="5981" spans="1:2" x14ac:dyDescent="0.25">
      <c r="A5981" t="s">
        <v>8517</v>
      </c>
      <c r="B5981">
        <v>218919</v>
      </c>
    </row>
    <row r="5982" spans="1:2" x14ac:dyDescent="0.25">
      <c r="A5982" t="s">
        <v>8518</v>
      </c>
      <c r="B5982">
        <v>493770</v>
      </c>
    </row>
    <row r="5983" spans="1:2" x14ac:dyDescent="0.25">
      <c r="A5983" t="s">
        <v>8519</v>
      </c>
      <c r="B5983">
        <v>446613</v>
      </c>
    </row>
    <row r="5984" spans="1:2" x14ac:dyDescent="0.25">
      <c r="A5984" t="s">
        <v>8520</v>
      </c>
      <c r="B5984">
        <v>152673</v>
      </c>
    </row>
    <row r="5985" spans="1:2" x14ac:dyDescent="0.25">
      <c r="A5985" t="s">
        <v>8521</v>
      </c>
      <c r="B5985">
        <v>403487</v>
      </c>
    </row>
    <row r="5986" spans="1:2" x14ac:dyDescent="0.25">
      <c r="A5986" t="s">
        <v>8522</v>
      </c>
      <c r="B5986">
        <v>226879</v>
      </c>
    </row>
    <row r="5987" spans="1:2" x14ac:dyDescent="0.25">
      <c r="A5987" t="s">
        <v>8523</v>
      </c>
      <c r="B5987">
        <v>476896</v>
      </c>
    </row>
    <row r="5988" spans="1:2" x14ac:dyDescent="0.25">
      <c r="A5988" t="s">
        <v>8523</v>
      </c>
      <c r="B5988">
        <v>492591</v>
      </c>
    </row>
    <row r="5989" spans="1:2" x14ac:dyDescent="0.25">
      <c r="A5989" t="s">
        <v>8524</v>
      </c>
      <c r="B5989">
        <v>487065</v>
      </c>
    </row>
    <row r="5990" spans="1:2" x14ac:dyDescent="0.25">
      <c r="A5990" t="s">
        <v>8525</v>
      </c>
      <c r="B5990">
        <v>197197</v>
      </c>
    </row>
    <row r="5991" spans="1:2" x14ac:dyDescent="0.25">
      <c r="A5991" t="s">
        <v>8526</v>
      </c>
      <c r="B5991">
        <v>199847</v>
      </c>
    </row>
    <row r="5992" spans="1:2" x14ac:dyDescent="0.25">
      <c r="A5992" t="s">
        <v>8527</v>
      </c>
      <c r="B5992">
        <v>199856</v>
      </c>
    </row>
    <row r="5993" spans="1:2" x14ac:dyDescent="0.25">
      <c r="A5993" t="s">
        <v>8528</v>
      </c>
      <c r="B5993">
        <v>125231</v>
      </c>
    </row>
    <row r="5994" spans="1:2" x14ac:dyDescent="0.25">
      <c r="A5994" t="s">
        <v>8529</v>
      </c>
      <c r="B5994">
        <v>154518</v>
      </c>
    </row>
    <row r="5995" spans="1:2" x14ac:dyDescent="0.25">
      <c r="A5995" t="s">
        <v>8530</v>
      </c>
      <c r="B5995">
        <v>236887</v>
      </c>
    </row>
    <row r="5996" spans="1:2" x14ac:dyDescent="0.25">
      <c r="A5996" t="s">
        <v>8531</v>
      </c>
      <c r="B5996">
        <v>236896</v>
      </c>
    </row>
    <row r="5997" spans="1:2" x14ac:dyDescent="0.25">
      <c r="A5997" t="s">
        <v>8532</v>
      </c>
      <c r="B5997">
        <v>215637</v>
      </c>
    </row>
    <row r="5998" spans="1:2" x14ac:dyDescent="0.25">
      <c r="A5998" t="s">
        <v>8533</v>
      </c>
      <c r="B5998">
        <v>172608</v>
      </c>
    </row>
    <row r="5999" spans="1:2" x14ac:dyDescent="0.25">
      <c r="A5999" t="s">
        <v>8534</v>
      </c>
      <c r="B5999">
        <v>206437</v>
      </c>
    </row>
    <row r="6000" spans="1:2" x14ac:dyDescent="0.25">
      <c r="A6000" t="s">
        <v>8535</v>
      </c>
      <c r="B6000">
        <v>222062</v>
      </c>
    </row>
    <row r="6001" spans="1:2" x14ac:dyDescent="0.25">
      <c r="A6001" t="s">
        <v>8536</v>
      </c>
      <c r="B6001">
        <v>210304</v>
      </c>
    </row>
    <row r="6002" spans="1:2" x14ac:dyDescent="0.25">
      <c r="A6002" t="s">
        <v>8537</v>
      </c>
      <c r="B6002">
        <v>480198</v>
      </c>
    </row>
    <row r="6003" spans="1:2" x14ac:dyDescent="0.25">
      <c r="A6003" t="s">
        <v>8538</v>
      </c>
      <c r="B6003">
        <v>138275</v>
      </c>
    </row>
    <row r="6004" spans="1:2" x14ac:dyDescent="0.25">
      <c r="A6004" t="s">
        <v>8539</v>
      </c>
      <c r="B6004">
        <v>407832</v>
      </c>
    </row>
    <row r="6005" spans="1:2" x14ac:dyDescent="0.25">
      <c r="A6005" t="s">
        <v>8540</v>
      </c>
      <c r="B6005">
        <v>245625</v>
      </c>
    </row>
    <row r="6006" spans="1:2" x14ac:dyDescent="0.25">
      <c r="A6006" t="s">
        <v>8541</v>
      </c>
      <c r="B6006">
        <v>199865</v>
      </c>
    </row>
    <row r="6007" spans="1:2" x14ac:dyDescent="0.25">
      <c r="A6007" t="s">
        <v>8542</v>
      </c>
      <c r="B6007">
        <v>417655</v>
      </c>
    </row>
    <row r="6008" spans="1:2" x14ac:dyDescent="0.25">
      <c r="A6008" t="s">
        <v>8543</v>
      </c>
      <c r="B6008">
        <v>154527</v>
      </c>
    </row>
    <row r="6009" spans="1:2" x14ac:dyDescent="0.25">
      <c r="A6009" t="s">
        <v>8544</v>
      </c>
      <c r="B6009">
        <v>154536</v>
      </c>
    </row>
    <row r="6010" spans="1:2" x14ac:dyDescent="0.25">
      <c r="A6010" t="s">
        <v>8545</v>
      </c>
      <c r="B6010">
        <v>155423</v>
      </c>
    </row>
    <row r="6011" spans="1:2" x14ac:dyDescent="0.25">
      <c r="A6011" t="s">
        <v>8546</v>
      </c>
      <c r="B6011">
        <v>156082</v>
      </c>
    </row>
    <row r="6012" spans="1:2" x14ac:dyDescent="0.25">
      <c r="A6012" t="s">
        <v>8547</v>
      </c>
      <c r="B6012">
        <v>216667</v>
      </c>
    </row>
    <row r="6013" spans="1:2" x14ac:dyDescent="0.25">
      <c r="A6013" t="s">
        <v>8548</v>
      </c>
      <c r="B6013">
        <v>162210</v>
      </c>
    </row>
    <row r="6014" spans="1:2" x14ac:dyDescent="0.25">
      <c r="A6014" t="s">
        <v>8549</v>
      </c>
      <c r="B6014">
        <v>234207</v>
      </c>
    </row>
    <row r="6015" spans="1:2" x14ac:dyDescent="0.25">
      <c r="A6015" t="s">
        <v>8550</v>
      </c>
      <c r="B6015">
        <v>457192</v>
      </c>
    </row>
    <row r="6016" spans="1:2" x14ac:dyDescent="0.25">
      <c r="A6016" t="s">
        <v>8551</v>
      </c>
      <c r="B6016">
        <v>164216</v>
      </c>
    </row>
    <row r="6017" spans="1:2" x14ac:dyDescent="0.25">
      <c r="A6017" t="s">
        <v>8552</v>
      </c>
      <c r="B6017">
        <v>418250</v>
      </c>
    </row>
    <row r="6018" spans="1:2" x14ac:dyDescent="0.25">
      <c r="A6018" t="s">
        <v>8553</v>
      </c>
      <c r="B6018">
        <v>161581</v>
      </c>
    </row>
    <row r="6019" spans="1:2" x14ac:dyDescent="0.25">
      <c r="A6019" t="s">
        <v>8554</v>
      </c>
      <c r="B6019">
        <v>216630</v>
      </c>
    </row>
    <row r="6020" spans="1:2" x14ac:dyDescent="0.25">
      <c r="A6020" t="s">
        <v>8555</v>
      </c>
      <c r="B6020">
        <v>418029</v>
      </c>
    </row>
    <row r="6021" spans="1:2" x14ac:dyDescent="0.25">
      <c r="A6021" t="s">
        <v>8556</v>
      </c>
      <c r="B6021">
        <v>206446</v>
      </c>
    </row>
    <row r="6022" spans="1:2" x14ac:dyDescent="0.25">
      <c r="A6022" t="s">
        <v>8557</v>
      </c>
      <c r="B6022">
        <v>236939</v>
      </c>
    </row>
    <row r="6023" spans="1:2" x14ac:dyDescent="0.25">
      <c r="A6023" t="s">
        <v>8842</v>
      </c>
      <c r="B6023">
        <v>497055</v>
      </c>
    </row>
    <row r="6024" spans="1:2" x14ac:dyDescent="0.25">
      <c r="A6024" t="s">
        <v>8558</v>
      </c>
      <c r="B6024">
        <v>179867</v>
      </c>
    </row>
    <row r="6025" spans="1:2" x14ac:dyDescent="0.25">
      <c r="A6025" t="s">
        <v>8559</v>
      </c>
      <c r="B6025">
        <v>172617</v>
      </c>
    </row>
    <row r="6026" spans="1:2" x14ac:dyDescent="0.25">
      <c r="A6026" t="s">
        <v>8560</v>
      </c>
      <c r="B6026">
        <v>199883</v>
      </c>
    </row>
    <row r="6027" spans="1:2" x14ac:dyDescent="0.25">
      <c r="A6027" t="s">
        <v>8561</v>
      </c>
      <c r="B6027">
        <v>149727</v>
      </c>
    </row>
    <row r="6028" spans="1:2" x14ac:dyDescent="0.25">
      <c r="A6028" t="s">
        <v>8562</v>
      </c>
      <c r="B6028">
        <v>240125</v>
      </c>
    </row>
    <row r="6029" spans="1:2" x14ac:dyDescent="0.25">
      <c r="A6029" t="s">
        <v>8563</v>
      </c>
      <c r="B6029">
        <v>486594</v>
      </c>
    </row>
    <row r="6030" spans="1:2" x14ac:dyDescent="0.25">
      <c r="A6030" t="s">
        <v>8564</v>
      </c>
      <c r="B6030">
        <v>229780</v>
      </c>
    </row>
    <row r="6031" spans="1:2" x14ac:dyDescent="0.25">
      <c r="A6031" t="s">
        <v>8565</v>
      </c>
      <c r="B6031">
        <v>199892</v>
      </c>
    </row>
    <row r="6032" spans="1:2" x14ac:dyDescent="0.25">
      <c r="A6032" t="s">
        <v>8566</v>
      </c>
      <c r="B6032">
        <v>172635</v>
      </c>
    </row>
    <row r="6033" spans="1:2" x14ac:dyDescent="0.25">
      <c r="A6033" t="s">
        <v>8567</v>
      </c>
      <c r="B6033">
        <v>433138</v>
      </c>
    </row>
    <row r="6034" spans="1:2" x14ac:dyDescent="0.25">
      <c r="A6034" t="s">
        <v>8568</v>
      </c>
      <c r="B6034">
        <v>418001</v>
      </c>
    </row>
    <row r="6035" spans="1:2" x14ac:dyDescent="0.25">
      <c r="A6035" t="s">
        <v>8569</v>
      </c>
      <c r="B6035">
        <v>181783</v>
      </c>
    </row>
    <row r="6036" spans="1:2" x14ac:dyDescent="0.25">
      <c r="A6036" t="s">
        <v>8570</v>
      </c>
      <c r="B6036">
        <v>172644</v>
      </c>
    </row>
    <row r="6037" spans="1:2" x14ac:dyDescent="0.25">
      <c r="A6037" t="s">
        <v>8571</v>
      </c>
      <c r="B6037">
        <v>125310</v>
      </c>
    </row>
    <row r="6038" spans="1:2" x14ac:dyDescent="0.25">
      <c r="A6038" t="s">
        <v>8572</v>
      </c>
      <c r="B6038">
        <v>216694</v>
      </c>
    </row>
    <row r="6039" spans="1:2" x14ac:dyDescent="0.25">
      <c r="A6039" t="s">
        <v>8573</v>
      </c>
      <c r="B6039">
        <v>365505</v>
      </c>
    </row>
    <row r="6040" spans="1:2" x14ac:dyDescent="0.25">
      <c r="A6040" t="s">
        <v>8574</v>
      </c>
      <c r="B6040">
        <v>229799</v>
      </c>
    </row>
    <row r="6041" spans="1:2" x14ac:dyDescent="0.25">
      <c r="A6041" t="s">
        <v>8575</v>
      </c>
      <c r="B6041">
        <v>197221</v>
      </c>
    </row>
    <row r="6042" spans="1:2" x14ac:dyDescent="0.25">
      <c r="A6042" t="s">
        <v>8576</v>
      </c>
      <c r="B6042">
        <v>138293</v>
      </c>
    </row>
    <row r="6043" spans="1:2" x14ac:dyDescent="0.25">
      <c r="A6043" t="s">
        <v>8577</v>
      </c>
      <c r="B6043">
        <v>495208</v>
      </c>
    </row>
    <row r="6044" spans="1:2" x14ac:dyDescent="0.25">
      <c r="A6044" t="s">
        <v>8578</v>
      </c>
      <c r="B6044">
        <v>230782</v>
      </c>
    </row>
    <row r="6045" spans="1:2" x14ac:dyDescent="0.25">
      <c r="A6045" t="s">
        <v>8579</v>
      </c>
      <c r="B6045">
        <v>179894</v>
      </c>
    </row>
    <row r="6046" spans="1:2" x14ac:dyDescent="0.25">
      <c r="A6046" t="s">
        <v>8580</v>
      </c>
      <c r="B6046">
        <v>190424</v>
      </c>
    </row>
    <row r="6047" spans="1:2" x14ac:dyDescent="0.25">
      <c r="A6047" t="s">
        <v>8581</v>
      </c>
      <c r="B6047">
        <v>220206</v>
      </c>
    </row>
    <row r="6048" spans="1:2" x14ac:dyDescent="0.25">
      <c r="A6048" t="s">
        <v>8582</v>
      </c>
      <c r="B6048">
        <v>216746</v>
      </c>
    </row>
    <row r="6049" spans="1:2" x14ac:dyDescent="0.25">
      <c r="A6049" t="s">
        <v>8583</v>
      </c>
      <c r="B6049">
        <v>168218</v>
      </c>
    </row>
    <row r="6050" spans="1:2" x14ac:dyDescent="0.25">
      <c r="A6050" t="s">
        <v>8584</v>
      </c>
      <c r="B6050">
        <v>197230</v>
      </c>
    </row>
    <row r="6051" spans="1:2" x14ac:dyDescent="0.25">
      <c r="A6051" t="s">
        <v>8585</v>
      </c>
      <c r="B6051">
        <v>447999</v>
      </c>
    </row>
    <row r="6052" spans="1:2" x14ac:dyDescent="0.25">
      <c r="A6052" t="s">
        <v>8586</v>
      </c>
      <c r="B6052">
        <v>470047</v>
      </c>
    </row>
    <row r="6053" spans="1:2" x14ac:dyDescent="0.25">
      <c r="A6053" t="s">
        <v>8587</v>
      </c>
      <c r="B6053">
        <v>493451</v>
      </c>
    </row>
    <row r="6054" spans="1:2" x14ac:dyDescent="0.25">
      <c r="A6054" t="s">
        <v>8588</v>
      </c>
      <c r="B6054">
        <v>494898</v>
      </c>
    </row>
    <row r="6055" spans="1:2" x14ac:dyDescent="0.25">
      <c r="A6055" t="s">
        <v>8589</v>
      </c>
      <c r="B6055">
        <v>236975</v>
      </c>
    </row>
    <row r="6056" spans="1:2" x14ac:dyDescent="0.25">
      <c r="A6056" t="s">
        <v>8590</v>
      </c>
      <c r="B6056">
        <v>168227</v>
      </c>
    </row>
    <row r="6057" spans="1:2" x14ac:dyDescent="0.25">
      <c r="A6057" t="s">
        <v>8591</v>
      </c>
      <c r="B6057">
        <v>418357</v>
      </c>
    </row>
    <row r="6058" spans="1:2" x14ac:dyDescent="0.25">
      <c r="A6058" t="s">
        <v>8592</v>
      </c>
      <c r="B6058">
        <v>176451</v>
      </c>
    </row>
    <row r="6059" spans="1:2" x14ac:dyDescent="0.25">
      <c r="A6059" t="s">
        <v>8593</v>
      </c>
      <c r="B6059">
        <v>131098</v>
      </c>
    </row>
    <row r="6060" spans="1:2" x14ac:dyDescent="0.25">
      <c r="A6060" t="s">
        <v>8594</v>
      </c>
      <c r="B6060">
        <v>131973</v>
      </c>
    </row>
    <row r="6061" spans="1:2" x14ac:dyDescent="0.25">
      <c r="A6061" t="s">
        <v>8595</v>
      </c>
      <c r="B6061">
        <v>141325</v>
      </c>
    </row>
    <row r="6062" spans="1:2" x14ac:dyDescent="0.25">
      <c r="A6062" t="s">
        <v>8596</v>
      </c>
      <c r="B6062">
        <v>130697</v>
      </c>
    </row>
    <row r="6063" spans="1:2" x14ac:dyDescent="0.25">
      <c r="A6063" t="s">
        <v>8597</v>
      </c>
      <c r="B6063">
        <v>216764</v>
      </c>
    </row>
    <row r="6064" spans="1:2" x14ac:dyDescent="0.25">
      <c r="A6064" t="s">
        <v>8598</v>
      </c>
      <c r="B6064">
        <v>489858</v>
      </c>
    </row>
    <row r="6065" spans="1:2" x14ac:dyDescent="0.25">
      <c r="A6065" t="s">
        <v>8599</v>
      </c>
      <c r="B6065">
        <v>477039</v>
      </c>
    </row>
    <row r="6066" spans="1:2" x14ac:dyDescent="0.25">
      <c r="A6066" t="s">
        <v>8600</v>
      </c>
      <c r="B6066">
        <v>443331</v>
      </c>
    </row>
    <row r="6067" spans="1:2" x14ac:dyDescent="0.25">
      <c r="A6067" t="s">
        <v>8601</v>
      </c>
      <c r="B6067">
        <v>485272</v>
      </c>
    </row>
    <row r="6068" spans="1:2" x14ac:dyDescent="0.25">
      <c r="A6068" t="s">
        <v>8602</v>
      </c>
      <c r="B6068">
        <v>458229</v>
      </c>
    </row>
    <row r="6069" spans="1:2" x14ac:dyDescent="0.25">
      <c r="A6069" t="s">
        <v>8603</v>
      </c>
      <c r="B6069">
        <v>458210</v>
      </c>
    </row>
    <row r="6070" spans="1:2" x14ac:dyDescent="0.25">
      <c r="A6070" t="s">
        <v>8604</v>
      </c>
      <c r="B6070">
        <v>139278</v>
      </c>
    </row>
    <row r="6071" spans="1:2" x14ac:dyDescent="0.25">
      <c r="A6071" t="s">
        <v>8605</v>
      </c>
      <c r="B6071">
        <v>125462</v>
      </c>
    </row>
    <row r="6072" spans="1:2" x14ac:dyDescent="0.25">
      <c r="A6072" t="s">
        <v>8606</v>
      </c>
      <c r="B6072">
        <v>448594</v>
      </c>
    </row>
    <row r="6073" spans="1:2" x14ac:dyDescent="0.25">
      <c r="A6073" t="s">
        <v>8607</v>
      </c>
      <c r="B6073">
        <v>448637</v>
      </c>
    </row>
    <row r="6074" spans="1:2" x14ac:dyDescent="0.25">
      <c r="A6074" t="s">
        <v>8608</v>
      </c>
      <c r="B6074">
        <v>157483</v>
      </c>
    </row>
    <row r="6075" spans="1:2" x14ac:dyDescent="0.25">
      <c r="A6075" t="s">
        <v>8609</v>
      </c>
      <c r="B6075">
        <v>237932</v>
      </c>
    </row>
    <row r="6076" spans="1:2" x14ac:dyDescent="0.25">
      <c r="A6076" t="s">
        <v>8610</v>
      </c>
      <c r="B6076">
        <v>125471</v>
      </c>
    </row>
    <row r="6077" spans="1:2" x14ac:dyDescent="0.25">
      <c r="A6077" t="s">
        <v>8611</v>
      </c>
      <c r="B6077">
        <v>152044</v>
      </c>
    </row>
    <row r="6078" spans="1:2" x14ac:dyDescent="0.25">
      <c r="A6078" t="s">
        <v>8612</v>
      </c>
      <c r="B6078">
        <v>172671</v>
      </c>
    </row>
    <row r="6079" spans="1:2" x14ac:dyDescent="0.25">
      <c r="A6079" t="s">
        <v>8613</v>
      </c>
      <c r="B6079">
        <v>229814</v>
      </c>
    </row>
    <row r="6080" spans="1:2" x14ac:dyDescent="0.25">
      <c r="A6080" t="s">
        <v>8614</v>
      </c>
      <c r="B6080">
        <v>125499</v>
      </c>
    </row>
    <row r="6081" spans="1:2" x14ac:dyDescent="0.25">
      <c r="A6081" t="s">
        <v>8615</v>
      </c>
      <c r="B6081">
        <v>125222</v>
      </c>
    </row>
    <row r="6082" spans="1:2" x14ac:dyDescent="0.25">
      <c r="A6082" t="s">
        <v>8616</v>
      </c>
      <c r="B6082">
        <v>442383</v>
      </c>
    </row>
    <row r="6083" spans="1:2" x14ac:dyDescent="0.25">
      <c r="A6083" t="s">
        <v>8617</v>
      </c>
      <c r="B6083">
        <v>237987</v>
      </c>
    </row>
    <row r="6084" spans="1:2" x14ac:dyDescent="0.25">
      <c r="A6084" t="s">
        <v>8618</v>
      </c>
      <c r="B6084">
        <v>237996</v>
      </c>
    </row>
    <row r="6085" spans="1:2" x14ac:dyDescent="0.25">
      <c r="A6085" t="s">
        <v>8619</v>
      </c>
      <c r="B6085">
        <v>261861</v>
      </c>
    </row>
    <row r="6086" spans="1:2" x14ac:dyDescent="0.25">
      <c r="A6086" t="s">
        <v>8619</v>
      </c>
      <c r="B6086">
        <v>494755</v>
      </c>
    </row>
    <row r="6087" spans="1:2" x14ac:dyDescent="0.25">
      <c r="A6087" t="s">
        <v>8620</v>
      </c>
      <c r="B6087">
        <v>238014</v>
      </c>
    </row>
    <row r="6088" spans="1:2" x14ac:dyDescent="0.25">
      <c r="A6088" t="s">
        <v>8621</v>
      </c>
      <c r="B6088">
        <v>237880</v>
      </c>
    </row>
    <row r="6089" spans="1:2" x14ac:dyDescent="0.25">
      <c r="A6089" t="s">
        <v>8622</v>
      </c>
      <c r="B6089">
        <v>237899</v>
      </c>
    </row>
    <row r="6090" spans="1:2" x14ac:dyDescent="0.25">
      <c r="A6090" t="s">
        <v>8623</v>
      </c>
      <c r="B6090">
        <v>238032</v>
      </c>
    </row>
    <row r="6091" spans="1:2" x14ac:dyDescent="0.25">
      <c r="A6091" t="s">
        <v>8624</v>
      </c>
      <c r="B6091">
        <v>237686</v>
      </c>
    </row>
    <row r="6092" spans="1:2" x14ac:dyDescent="0.25">
      <c r="A6092" t="s">
        <v>8625</v>
      </c>
      <c r="B6092">
        <v>237905</v>
      </c>
    </row>
    <row r="6093" spans="1:2" x14ac:dyDescent="0.25">
      <c r="A6093" t="s">
        <v>8626</v>
      </c>
      <c r="B6093">
        <v>237950</v>
      </c>
    </row>
    <row r="6094" spans="1:2" x14ac:dyDescent="0.25">
      <c r="A6094" t="s">
        <v>8627</v>
      </c>
      <c r="B6094">
        <v>237969</v>
      </c>
    </row>
    <row r="6095" spans="1:2" x14ac:dyDescent="0.25">
      <c r="A6095" t="s">
        <v>8628</v>
      </c>
      <c r="B6095">
        <v>486141</v>
      </c>
    </row>
    <row r="6096" spans="1:2" x14ac:dyDescent="0.25">
      <c r="A6096" t="s">
        <v>8629</v>
      </c>
      <c r="B6096">
        <v>485801</v>
      </c>
    </row>
    <row r="6097" spans="1:2" x14ac:dyDescent="0.25">
      <c r="A6097" t="s">
        <v>8630</v>
      </c>
      <c r="B6097">
        <v>197337</v>
      </c>
    </row>
    <row r="6098" spans="1:2" x14ac:dyDescent="0.25">
      <c r="A6098" t="s">
        <v>8631</v>
      </c>
      <c r="B6098">
        <v>490133</v>
      </c>
    </row>
    <row r="6099" spans="1:2" x14ac:dyDescent="0.25">
      <c r="A6099" t="s">
        <v>8632</v>
      </c>
      <c r="B6099">
        <v>368407</v>
      </c>
    </row>
    <row r="6100" spans="1:2" x14ac:dyDescent="0.25">
      <c r="A6100" t="s">
        <v>8633</v>
      </c>
      <c r="B6100">
        <v>200004</v>
      </c>
    </row>
    <row r="6101" spans="1:2" x14ac:dyDescent="0.25">
      <c r="A6101" t="s">
        <v>8634</v>
      </c>
      <c r="B6101">
        <v>128391</v>
      </c>
    </row>
    <row r="6102" spans="1:2" x14ac:dyDescent="0.25">
      <c r="A6102" t="s">
        <v>8635</v>
      </c>
      <c r="B6102">
        <v>130776</v>
      </c>
    </row>
    <row r="6103" spans="1:2" x14ac:dyDescent="0.25">
      <c r="A6103" t="s">
        <v>8636</v>
      </c>
      <c r="B6103">
        <v>219480</v>
      </c>
    </row>
    <row r="6104" spans="1:2" x14ac:dyDescent="0.25">
      <c r="A6104" t="s">
        <v>8637</v>
      </c>
      <c r="B6104">
        <v>433387</v>
      </c>
    </row>
    <row r="6105" spans="1:2" x14ac:dyDescent="0.25">
      <c r="A6105" t="s">
        <v>8638</v>
      </c>
      <c r="B6105">
        <v>149772</v>
      </c>
    </row>
    <row r="6106" spans="1:2" x14ac:dyDescent="0.25">
      <c r="A6106" t="s">
        <v>8639</v>
      </c>
      <c r="B6106">
        <v>154572</v>
      </c>
    </row>
    <row r="6107" spans="1:2" x14ac:dyDescent="0.25">
      <c r="A6107" t="s">
        <v>8640</v>
      </c>
      <c r="B6107">
        <v>157951</v>
      </c>
    </row>
    <row r="6108" spans="1:2" x14ac:dyDescent="0.25">
      <c r="A6108" t="s">
        <v>8641</v>
      </c>
      <c r="B6108">
        <v>495013</v>
      </c>
    </row>
    <row r="6109" spans="1:2" x14ac:dyDescent="0.25">
      <c r="A6109" t="s">
        <v>8642</v>
      </c>
      <c r="B6109">
        <v>172699</v>
      </c>
    </row>
    <row r="6110" spans="1:2" x14ac:dyDescent="0.25">
      <c r="A6110" t="s">
        <v>8643</v>
      </c>
      <c r="B6110">
        <v>490373</v>
      </c>
    </row>
    <row r="6111" spans="1:2" x14ac:dyDescent="0.25">
      <c r="A6111" t="s">
        <v>8644</v>
      </c>
      <c r="B6111">
        <v>172477</v>
      </c>
    </row>
    <row r="6112" spans="1:2" x14ac:dyDescent="0.25">
      <c r="A6112" t="s">
        <v>8645</v>
      </c>
      <c r="B6112">
        <v>181817</v>
      </c>
    </row>
    <row r="6113" spans="1:2" x14ac:dyDescent="0.25">
      <c r="A6113" t="s">
        <v>8646</v>
      </c>
      <c r="B6113">
        <v>182564</v>
      </c>
    </row>
    <row r="6114" spans="1:2" x14ac:dyDescent="0.25">
      <c r="A6114" t="s">
        <v>8647</v>
      </c>
      <c r="B6114">
        <v>168254</v>
      </c>
    </row>
    <row r="6115" spans="1:2" x14ac:dyDescent="0.25">
      <c r="A6115" t="s">
        <v>8648</v>
      </c>
      <c r="B6115">
        <v>188304</v>
      </c>
    </row>
    <row r="6116" spans="1:2" x14ac:dyDescent="0.25">
      <c r="A6116" t="s">
        <v>8649</v>
      </c>
      <c r="B6116">
        <v>208035</v>
      </c>
    </row>
    <row r="6117" spans="1:2" x14ac:dyDescent="0.25">
      <c r="A6117" t="s">
        <v>8650</v>
      </c>
      <c r="B6117">
        <v>210429</v>
      </c>
    </row>
    <row r="6118" spans="1:2" x14ac:dyDescent="0.25">
      <c r="A6118" t="s">
        <v>8651</v>
      </c>
      <c r="B6118">
        <v>216773</v>
      </c>
    </row>
    <row r="6119" spans="1:2" x14ac:dyDescent="0.25">
      <c r="A6119" t="s">
        <v>8652</v>
      </c>
      <c r="B6119">
        <v>199908</v>
      </c>
    </row>
    <row r="6120" spans="1:2" x14ac:dyDescent="0.25">
      <c r="A6120" t="s">
        <v>8653</v>
      </c>
      <c r="B6120">
        <v>210368</v>
      </c>
    </row>
    <row r="6121" spans="1:2" x14ac:dyDescent="0.25">
      <c r="A6121" t="s">
        <v>8654</v>
      </c>
      <c r="B6121">
        <v>420468</v>
      </c>
    </row>
    <row r="6122" spans="1:2" x14ac:dyDescent="0.25">
      <c r="A6122" t="s">
        <v>8655</v>
      </c>
      <c r="B6122">
        <v>224660</v>
      </c>
    </row>
    <row r="6123" spans="1:2" x14ac:dyDescent="0.25">
      <c r="A6123" t="s">
        <v>8655</v>
      </c>
      <c r="B6123">
        <v>224679</v>
      </c>
    </row>
    <row r="6124" spans="1:2" x14ac:dyDescent="0.25">
      <c r="A6124" t="s">
        <v>8655</v>
      </c>
      <c r="B6124">
        <v>240170</v>
      </c>
    </row>
    <row r="6125" spans="1:2" x14ac:dyDescent="0.25">
      <c r="A6125" t="s">
        <v>8656</v>
      </c>
      <c r="B6125">
        <v>418302</v>
      </c>
    </row>
    <row r="6126" spans="1:2" x14ac:dyDescent="0.25">
      <c r="A6126" t="s">
        <v>8657</v>
      </c>
      <c r="B6126">
        <v>229832</v>
      </c>
    </row>
    <row r="6127" spans="1:2" x14ac:dyDescent="0.25">
      <c r="A6127" t="s">
        <v>8658</v>
      </c>
      <c r="B6127">
        <v>172705</v>
      </c>
    </row>
    <row r="6128" spans="1:2" x14ac:dyDescent="0.25">
      <c r="A6128" t="s">
        <v>8659</v>
      </c>
      <c r="B6128">
        <v>112525</v>
      </c>
    </row>
    <row r="6129" spans="1:2" x14ac:dyDescent="0.25">
      <c r="A6129" t="s">
        <v>8660</v>
      </c>
      <c r="B6129">
        <v>237011</v>
      </c>
    </row>
    <row r="6130" spans="1:2" x14ac:dyDescent="0.25">
      <c r="A6130" t="s">
        <v>8661</v>
      </c>
      <c r="B6130">
        <v>240693</v>
      </c>
    </row>
    <row r="6131" spans="1:2" x14ac:dyDescent="0.25">
      <c r="A6131" t="s">
        <v>8662</v>
      </c>
      <c r="B6131">
        <v>168263</v>
      </c>
    </row>
    <row r="6132" spans="1:2" x14ac:dyDescent="0.25">
      <c r="A6132" t="s">
        <v>8663</v>
      </c>
      <c r="B6132">
        <v>179946</v>
      </c>
    </row>
    <row r="6133" spans="1:2" x14ac:dyDescent="0.25">
      <c r="A6133" t="s">
        <v>8663</v>
      </c>
      <c r="B6133">
        <v>216807</v>
      </c>
    </row>
    <row r="6134" spans="1:2" x14ac:dyDescent="0.25">
      <c r="A6134" t="s">
        <v>8663</v>
      </c>
      <c r="B6134">
        <v>230807</v>
      </c>
    </row>
    <row r="6135" spans="1:2" x14ac:dyDescent="0.25">
      <c r="A6135" t="s">
        <v>8664</v>
      </c>
      <c r="B6135">
        <v>216816</v>
      </c>
    </row>
    <row r="6136" spans="1:2" x14ac:dyDescent="0.25">
      <c r="A6136" t="s">
        <v>8665</v>
      </c>
      <c r="B6136">
        <v>125718</v>
      </c>
    </row>
    <row r="6137" spans="1:2" x14ac:dyDescent="0.25">
      <c r="A6137" t="s">
        <v>8666</v>
      </c>
      <c r="B6137">
        <v>125727</v>
      </c>
    </row>
    <row r="6138" spans="1:2" x14ac:dyDescent="0.25">
      <c r="A6138" t="s">
        <v>8667</v>
      </c>
      <c r="B6138">
        <v>216825</v>
      </c>
    </row>
    <row r="6139" spans="1:2" x14ac:dyDescent="0.25">
      <c r="A6139" t="s">
        <v>8668</v>
      </c>
      <c r="B6139">
        <v>229841</v>
      </c>
    </row>
    <row r="6140" spans="1:2" x14ac:dyDescent="0.25">
      <c r="A6140" t="s">
        <v>8669</v>
      </c>
      <c r="B6140">
        <v>237039</v>
      </c>
    </row>
    <row r="6141" spans="1:2" x14ac:dyDescent="0.25">
      <c r="A6141" t="s">
        <v>8670</v>
      </c>
      <c r="B6141">
        <v>149781</v>
      </c>
    </row>
    <row r="6142" spans="1:2" x14ac:dyDescent="0.25">
      <c r="A6142" t="s">
        <v>8671</v>
      </c>
      <c r="B6142">
        <v>168281</v>
      </c>
    </row>
    <row r="6143" spans="1:2" x14ac:dyDescent="0.25">
      <c r="A6143" t="s">
        <v>8672</v>
      </c>
      <c r="B6143">
        <v>238078</v>
      </c>
    </row>
    <row r="6144" spans="1:2" x14ac:dyDescent="0.25">
      <c r="A6144" t="s">
        <v>8673</v>
      </c>
      <c r="B6144">
        <v>434751</v>
      </c>
    </row>
    <row r="6145" spans="1:2" x14ac:dyDescent="0.25">
      <c r="A6145" t="s">
        <v>8674</v>
      </c>
      <c r="B6145">
        <v>183105</v>
      </c>
    </row>
    <row r="6146" spans="1:2" x14ac:dyDescent="0.25">
      <c r="A6146" t="s">
        <v>8675</v>
      </c>
      <c r="B6146">
        <v>237057</v>
      </c>
    </row>
    <row r="6147" spans="1:2" x14ac:dyDescent="0.25">
      <c r="A6147" t="s">
        <v>8676</v>
      </c>
      <c r="B6147">
        <v>125763</v>
      </c>
    </row>
    <row r="6148" spans="1:2" x14ac:dyDescent="0.25">
      <c r="A6148" t="s">
        <v>8677</v>
      </c>
      <c r="B6148">
        <v>237066</v>
      </c>
    </row>
    <row r="6149" spans="1:2" x14ac:dyDescent="0.25">
      <c r="A6149" t="s">
        <v>8678</v>
      </c>
      <c r="B6149">
        <v>475200</v>
      </c>
    </row>
    <row r="6150" spans="1:2" x14ac:dyDescent="0.25">
      <c r="A6150" t="s">
        <v>8679</v>
      </c>
      <c r="B6150">
        <v>156125</v>
      </c>
    </row>
    <row r="6151" spans="1:2" x14ac:dyDescent="0.25">
      <c r="A6151" t="s">
        <v>8680</v>
      </c>
      <c r="B6151">
        <v>156107</v>
      </c>
    </row>
    <row r="6152" spans="1:2" x14ac:dyDescent="0.25">
      <c r="A6152" t="s">
        <v>8681</v>
      </c>
      <c r="B6152">
        <v>156134</v>
      </c>
    </row>
    <row r="6153" spans="1:2" x14ac:dyDescent="0.25">
      <c r="A6153" t="s">
        <v>8682</v>
      </c>
      <c r="B6153">
        <v>216852</v>
      </c>
    </row>
    <row r="6154" spans="1:2" x14ac:dyDescent="0.25">
      <c r="A6154" t="s">
        <v>8683</v>
      </c>
      <c r="B6154">
        <v>206491</v>
      </c>
    </row>
    <row r="6155" spans="1:2" x14ac:dyDescent="0.25">
      <c r="A6155" t="s">
        <v>8684</v>
      </c>
      <c r="B6155">
        <v>229887</v>
      </c>
    </row>
    <row r="6156" spans="1:2" x14ac:dyDescent="0.25">
      <c r="A6156" t="s">
        <v>8685</v>
      </c>
      <c r="B6156">
        <v>199926</v>
      </c>
    </row>
    <row r="6157" spans="1:2" x14ac:dyDescent="0.25">
      <c r="A6157" t="s">
        <v>8686</v>
      </c>
      <c r="B6157">
        <v>216931</v>
      </c>
    </row>
    <row r="6158" spans="1:2" x14ac:dyDescent="0.25">
      <c r="A6158" t="s">
        <v>8687</v>
      </c>
      <c r="B6158">
        <v>365383</v>
      </c>
    </row>
    <row r="6159" spans="1:2" x14ac:dyDescent="0.25">
      <c r="A6159" t="s">
        <v>8688</v>
      </c>
      <c r="B6159">
        <v>210401</v>
      </c>
    </row>
    <row r="6160" spans="1:2" x14ac:dyDescent="0.25">
      <c r="A6160" t="s">
        <v>8689</v>
      </c>
      <c r="B6160">
        <v>231624</v>
      </c>
    </row>
    <row r="6161" spans="1:2" x14ac:dyDescent="0.25">
      <c r="A6161" t="s">
        <v>8690</v>
      </c>
      <c r="B6161">
        <v>176479</v>
      </c>
    </row>
    <row r="6162" spans="1:2" x14ac:dyDescent="0.25">
      <c r="A6162" t="s">
        <v>8691</v>
      </c>
      <c r="B6162">
        <v>226860</v>
      </c>
    </row>
    <row r="6163" spans="1:2" x14ac:dyDescent="0.25">
      <c r="A6163" t="s">
        <v>8692</v>
      </c>
      <c r="B6163">
        <v>166717</v>
      </c>
    </row>
    <row r="6164" spans="1:2" x14ac:dyDescent="0.25">
      <c r="A6164" t="s">
        <v>8693</v>
      </c>
      <c r="B6164">
        <v>122728</v>
      </c>
    </row>
    <row r="6165" spans="1:2" x14ac:dyDescent="0.25">
      <c r="A6165" t="s">
        <v>8694</v>
      </c>
      <c r="B6165">
        <v>179955</v>
      </c>
    </row>
    <row r="6166" spans="1:2" x14ac:dyDescent="0.25">
      <c r="A6166" t="s">
        <v>8695</v>
      </c>
      <c r="B6166">
        <v>187444</v>
      </c>
    </row>
    <row r="6167" spans="1:2" x14ac:dyDescent="0.25">
      <c r="A6167" t="s">
        <v>8696</v>
      </c>
      <c r="B6167">
        <v>199272</v>
      </c>
    </row>
    <row r="6168" spans="1:2" x14ac:dyDescent="0.25">
      <c r="A6168" t="s">
        <v>8697</v>
      </c>
      <c r="B6168">
        <v>154590</v>
      </c>
    </row>
    <row r="6169" spans="1:2" x14ac:dyDescent="0.25">
      <c r="A6169" t="s">
        <v>8698</v>
      </c>
      <c r="B6169">
        <v>222105</v>
      </c>
    </row>
    <row r="6170" spans="1:2" x14ac:dyDescent="0.25">
      <c r="A6170" t="s">
        <v>8699</v>
      </c>
      <c r="B6170">
        <v>149842</v>
      </c>
    </row>
    <row r="6171" spans="1:2" x14ac:dyDescent="0.25">
      <c r="A6171" t="s">
        <v>8700</v>
      </c>
      <c r="B6171">
        <v>138479</v>
      </c>
    </row>
    <row r="6172" spans="1:2" x14ac:dyDescent="0.25">
      <c r="A6172" t="s">
        <v>8701</v>
      </c>
      <c r="B6172">
        <v>179964</v>
      </c>
    </row>
    <row r="6173" spans="1:2" x14ac:dyDescent="0.25">
      <c r="A6173" t="s">
        <v>8702</v>
      </c>
      <c r="B6173">
        <v>107877</v>
      </c>
    </row>
    <row r="6174" spans="1:2" x14ac:dyDescent="0.25">
      <c r="A6174" t="s">
        <v>8703</v>
      </c>
      <c r="B6174">
        <v>168342</v>
      </c>
    </row>
    <row r="6175" spans="1:2" x14ac:dyDescent="0.25">
      <c r="A6175" t="s">
        <v>8704</v>
      </c>
      <c r="B6175">
        <v>218955</v>
      </c>
    </row>
    <row r="6176" spans="1:2" x14ac:dyDescent="0.25">
      <c r="A6176" t="s">
        <v>8705</v>
      </c>
      <c r="B6176">
        <v>443340</v>
      </c>
    </row>
    <row r="6177" spans="1:2" x14ac:dyDescent="0.25">
      <c r="A6177" t="s">
        <v>8706</v>
      </c>
      <c r="B6177">
        <v>216940</v>
      </c>
    </row>
    <row r="6178" spans="1:2" x14ac:dyDescent="0.25">
      <c r="A6178" t="s">
        <v>8707</v>
      </c>
      <c r="B6178">
        <v>200341</v>
      </c>
    </row>
    <row r="6179" spans="1:2" x14ac:dyDescent="0.25">
      <c r="A6179" t="s">
        <v>8708</v>
      </c>
      <c r="B6179">
        <v>206507</v>
      </c>
    </row>
    <row r="6180" spans="1:2" x14ac:dyDescent="0.25">
      <c r="A6180" t="s">
        <v>8709</v>
      </c>
      <c r="B6180">
        <v>131113</v>
      </c>
    </row>
    <row r="6181" spans="1:2" x14ac:dyDescent="0.25">
      <c r="A6181" t="s">
        <v>8710</v>
      </c>
      <c r="B6181">
        <v>217013</v>
      </c>
    </row>
    <row r="6182" spans="1:2" x14ac:dyDescent="0.25">
      <c r="A6182" t="s">
        <v>8711</v>
      </c>
      <c r="B6182">
        <v>199953</v>
      </c>
    </row>
    <row r="6183" spans="1:2" x14ac:dyDescent="0.25">
      <c r="A6183" t="s">
        <v>8712</v>
      </c>
      <c r="B6183">
        <v>141990</v>
      </c>
    </row>
    <row r="6184" spans="1:2" x14ac:dyDescent="0.25">
      <c r="A6184" t="s">
        <v>8713</v>
      </c>
      <c r="B6184">
        <v>206516</v>
      </c>
    </row>
    <row r="6185" spans="1:2" x14ac:dyDescent="0.25">
      <c r="A6185" t="s">
        <v>8714</v>
      </c>
      <c r="B6185">
        <v>199962</v>
      </c>
    </row>
    <row r="6186" spans="1:2" x14ac:dyDescent="0.25">
      <c r="A6186" t="s">
        <v>8715</v>
      </c>
      <c r="B6186">
        <v>175272</v>
      </c>
    </row>
    <row r="6187" spans="1:2" x14ac:dyDescent="0.25">
      <c r="A6187" t="s">
        <v>8716</v>
      </c>
      <c r="B6187">
        <v>491905</v>
      </c>
    </row>
    <row r="6188" spans="1:2" x14ac:dyDescent="0.25">
      <c r="A6188" t="s">
        <v>8717</v>
      </c>
      <c r="B6188">
        <v>199980</v>
      </c>
    </row>
    <row r="6189" spans="1:2" x14ac:dyDescent="0.25">
      <c r="A6189" t="s">
        <v>8718</v>
      </c>
      <c r="B6189">
        <v>199999</v>
      </c>
    </row>
    <row r="6190" spans="1:2" x14ac:dyDescent="0.25">
      <c r="A6190" t="s">
        <v>8719</v>
      </c>
      <c r="B6190">
        <v>218964</v>
      </c>
    </row>
    <row r="6191" spans="1:2" x14ac:dyDescent="0.25">
      <c r="A6191" t="s">
        <v>8720</v>
      </c>
      <c r="B6191">
        <v>141255</v>
      </c>
    </row>
    <row r="6192" spans="1:2" x14ac:dyDescent="0.25">
      <c r="A6192" t="s">
        <v>8721</v>
      </c>
      <c r="B6192">
        <v>240338</v>
      </c>
    </row>
    <row r="6193" spans="1:2" x14ac:dyDescent="0.25">
      <c r="A6193" t="s">
        <v>8722</v>
      </c>
      <c r="B6193">
        <v>240213</v>
      </c>
    </row>
    <row r="6194" spans="1:2" x14ac:dyDescent="0.25">
      <c r="A6194" t="s">
        <v>8723</v>
      </c>
      <c r="B6194">
        <v>138497</v>
      </c>
    </row>
    <row r="6195" spans="1:2" x14ac:dyDescent="0.25">
      <c r="A6195" t="s">
        <v>8724</v>
      </c>
      <c r="B6195">
        <v>206525</v>
      </c>
    </row>
    <row r="6196" spans="1:2" x14ac:dyDescent="0.25">
      <c r="A6196" t="s">
        <v>8725</v>
      </c>
      <c r="B6196">
        <v>218973</v>
      </c>
    </row>
    <row r="6197" spans="1:2" x14ac:dyDescent="0.25">
      <c r="A6197" t="s">
        <v>8726</v>
      </c>
      <c r="B6197">
        <v>491631</v>
      </c>
    </row>
    <row r="6198" spans="1:2" x14ac:dyDescent="0.25">
      <c r="A6198" t="s">
        <v>8727</v>
      </c>
      <c r="B6198">
        <v>442064</v>
      </c>
    </row>
    <row r="6199" spans="1:2" x14ac:dyDescent="0.25">
      <c r="A6199" t="s">
        <v>8728</v>
      </c>
      <c r="B6199">
        <v>488907</v>
      </c>
    </row>
    <row r="6200" spans="1:2" x14ac:dyDescent="0.25">
      <c r="A6200" t="s">
        <v>8729</v>
      </c>
      <c r="B6200">
        <v>238096</v>
      </c>
    </row>
    <row r="6201" spans="1:2" x14ac:dyDescent="0.25">
      <c r="A6201" t="s">
        <v>8730</v>
      </c>
      <c r="B6201">
        <v>125897</v>
      </c>
    </row>
    <row r="6202" spans="1:2" x14ac:dyDescent="0.25">
      <c r="A6202" t="s">
        <v>8731</v>
      </c>
      <c r="B6202">
        <v>455512</v>
      </c>
    </row>
    <row r="6203" spans="1:2" x14ac:dyDescent="0.25">
      <c r="A6203" t="s">
        <v>8732</v>
      </c>
      <c r="B6203">
        <v>481146</v>
      </c>
    </row>
    <row r="6204" spans="1:2" x14ac:dyDescent="0.25">
      <c r="A6204" t="s">
        <v>8733</v>
      </c>
      <c r="B6204">
        <v>168421</v>
      </c>
    </row>
    <row r="6205" spans="1:2" x14ac:dyDescent="0.25">
      <c r="A6205" t="s">
        <v>8734</v>
      </c>
      <c r="B6205">
        <v>168430</v>
      </c>
    </row>
    <row r="6206" spans="1:2" x14ac:dyDescent="0.25">
      <c r="A6206" t="s">
        <v>8735</v>
      </c>
      <c r="B6206">
        <v>197531</v>
      </c>
    </row>
    <row r="6207" spans="1:2" x14ac:dyDescent="0.25">
      <c r="A6207" t="s">
        <v>8736</v>
      </c>
      <c r="B6207">
        <v>490142</v>
      </c>
    </row>
    <row r="6208" spans="1:2" x14ac:dyDescent="0.25">
      <c r="A6208" t="s">
        <v>8737</v>
      </c>
      <c r="B6208">
        <v>401223</v>
      </c>
    </row>
    <row r="6209" spans="1:2" x14ac:dyDescent="0.25">
      <c r="A6209" t="s">
        <v>8738</v>
      </c>
      <c r="B6209">
        <v>369455</v>
      </c>
    </row>
    <row r="6210" spans="1:2" x14ac:dyDescent="0.25">
      <c r="A6210" t="s">
        <v>8739</v>
      </c>
      <c r="B6210">
        <v>164313</v>
      </c>
    </row>
    <row r="6211" spans="1:2" x14ac:dyDescent="0.25">
      <c r="A6211" t="s">
        <v>8740</v>
      </c>
      <c r="B6211">
        <v>486460</v>
      </c>
    </row>
    <row r="6212" spans="1:2" x14ac:dyDescent="0.25">
      <c r="A6212" t="s">
        <v>8741</v>
      </c>
      <c r="B6212">
        <v>206613</v>
      </c>
    </row>
    <row r="6213" spans="1:2" x14ac:dyDescent="0.25">
      <c r="A6213" t="s">
        <v>8742</v>
      </c>
      <c r="B6213">
        <v>206604</v>
      </c>
    </row>
    <row r="6214" spans="1:2" x14ac:dyDescent="0.25">
      <c r="A6214" t="s">
        <v>8743</v>
      </c>
      <c r="B6214">
        <v>240718</v>
      </c>
    </row>
    <row r="6215" spans="1:2" x14ac:dyDescent="0.25">
      <c r="A6215" t="s">
        <v>8744</v>
      </c>
      <c r="B6215">
        <v>234377</v>
      </c>
    </row>
    <row r="6216" spans="1:2" x14ac:dyDescent="0.25">
      <c r="A6216" t="s">
        <v>8745</v>
      </c>
      <c r="B6216">
        <v>481289</v>
      </c>
    </row>
    <row r="6217" spans="1:2" x14ac:dyDescent="0.25">
      <c r="A6217" t="s">
        <v>8746</v>
      </c>
      <c r="B6217">
        <v>206622</v>
      </c>
    </row>
    <row r="6218" spans="1:2" x14ac:dyDescent="0.25">
      <c r="A6218" t="s">
        <v>8747</v>
      </c>
      <c r="B6218">
        <v>160904</v>
      </c>
    </row>
    <row r="6219" spans="1:2" x14ac:dyDescent="0.25">
      <c r="A6219" t="s">
        <v>8748</v>
      </c>
      <c r="B6219">
        <v>407355</v>
      </c>
    </row>
    <row r="6220" spans="1:2" x14ac:dyDescent="0.25">
      <c r="A6220" t="s">
        <v>8749</v>
      </c>
      <c r="B6220">
        <v>494700</v>
      </c>
    </row>
    <row r="6221" spans="1:2" x14ac:dyDescent="0.25">
      <c r="A6221" t="s">
        <v>8750</v>
      </c>
      <c r="B6221">
        <v>484136</v>
      </c>
    </row>
    <row r="6222" spans="1:2" x14ac:dyDescent="0.25">
      <c r="A6222" t="s">
        <v>8751</v>
      </c>
      <c r="B6222">
        <v>237109</v>
      </c>
    </row>
    <row r="6223" spans="1:2" x14ac:dyDescent="0.25">
      <c r="A6223" t="s">
        <v>8752</v>
      </c>
      <c r="B6223">
        <v>130794</v>
      </c>
    </row>
    <row r="6224" spans="1:2" x14ac:dyDescent="0.25">
      <c r="A6224" t="s">
        <v>8753</v>
      </c>
      <c r="B6224">
        <v>106148</v>
      </c>
    </row>
    <row r="6225" spans="1:2" x14ac:dyDescent="0.25">
      <c r="A6225" t="s">
        <v>8754</v>
      </c>
      <c r="B6225">
        <v>180717</v>
      </c>
    </row>
    <row r="6226" spans="1:2" x14ac:dyDescent="0.25">
      <c r="A6226" t="s">
        <v>8755</v>
      </c>
      <c r="B6226">
        <v>490319</v>
      </c>
    </row>
    <row r="6227" spans="1:2" x14ac:dyDescent="0.25">
      <c r="A6227" t="s">
        <v>8756</v>
      </c>
      <c r="B6227">
        <v>491622</v>
      </c>
    </row>
    <row r="6228" spans="1:2" x14ac:dyDescent="0.25">
      <c r="A6228" t="s">
        <v>8757</v>
      </c>
      <c r="B6228">
        <v>434937</v>
      </c>
    </row>
    <row r="6229" spans="1:2" x14ac:dyDescent="0.25">
      <c r="A6229" t="s">
        <v>8758</v>
      </c>
      <c r="B6229">
        <v>197647</v>
      </c>
    </row>
    <row r="6230" spans="1:2" x14ac:dyDescent="0.25">
      <c r="A6230" t="s">
        <v>8759</v>
      </c>
      <c r="B6230">
        <v>420325</v>
      </c>
    </row>
    <row r="6231" spans="1:2" x14ac:dyDescent="0.25">
      <c r="A6231" t="s">
        <v>8760</v>
      </c>
      <c r="B6231">
        <v>493716</v>
      </c>
    </row>
    <row r="6232" spans="1:2" x14ac:dyDescent="0.25">
      <c r="A6232" t="s">
        <v>8761</v>
      </c>
      <c r="B6232">
        <v>491914</v>
      </c>
    </row>
    <row r="6233" spans="1:2" x14ac:dyDescent="0.25">
      <c r="A6233" t="s">
        <v>8762</v>
      </c>
      <c r="B6233">
        <v>375230</v>
      </c>
    </row>
    <row r="6234" spans="1:2" x14ac:dyDescent="0.25">
      <c r="A6234" t="s">
        <v>8763</v>
      </c>
      <c r="B6234">
        <v>491640</v>
      </c>
    </row>
    <row r="6235" spans="1:2" x14ac:dyDescent="0.25">
      <c r="A6235" t="s">
        <v>8764</v>
      </c>
      <c r="B6235">
        <v>481410</v>
      </c>
    </row>
    <row r="6236" spans="1:2" x14ac:dyDescent="0.25">
      <c r="A6236" t="s">
        <v>8765</v>
      </c>
      <c r="B6236">
        <v>491710</v>
      </c>
    </row>
    <row r="6237" spans="1:2" x14ac:dyDescent="0.25">
      <c r="A6237" t="s">
        <v>8766</v>
      </c>
      <c r="B6237">
        <v>247773</v>
      </c>
    </row>
    <row r="6238" spans="1:2" x14ac:dyDescent="0.25">
      <c r="A6238" t="s">
        <v>8767</v>
      </c>
      <c r="B6238">
        <v>493707</v>
      </c>
    </row>
    <row r="6239" spans="1:2" x14ac:dyDescent="0.25">
      <c r="A6239" t="s">
        <v>8768</v>
      </c>
      <c r="B6239">
        <v>488350</v>
      </c>
    </row>
    <row r="6240" spans="1:2" x14ac:dyDescent="0.25">
      <c r="A6240" t="s">
        <v>8769</v>
      </c>
      <c r="B6240">
        <v>491613</v>
      </c>
    </row>
    <row r="6241" spans="1:2" x14ac:dyDescent="0.25">
      <c r="A6241" t="s">
        <v>8770</v>
      </c>
      <c r="B6241">
        <v>476692</v>
      </c>
    </row>
    <row r="6242" spans="1:2" x14ac:dyDescent="0.25">
      <c r="A6242" t="s">
        <v>8771</v>
      </c>
      <c r="B6242">
        <v>197601</v>
      </c>
    </row>
    <row r="6243" spans="1:2" x14ac:dyDescent="0.25">
      <c r="A6243" t="s">
        <v>8772</v>
      </c>
      <c r="B6243">
        <v>491057</v>
      </c>
    </row>
    <row r="6244" spans="1:2" x14ac:dyDescent="0.25">
      <c r="A6244" t="s">
        <v>8773</v>
      </c>
      <c r="B6244">
        <v>190752</v>
      </c>
    </row>
    <row r="6245" spans="1:2" x14ac:dyDescent="0.25">
      <c r="A6245" t="s">
        <v>8774</v>
      </c>
      <c r="B6245">
        <v>455257</v>
      </c>
    </row>
    <row r="6246" spans="1:2" x14ac:dyDescent="0.25">
      <c r="A6246" t="s">
        <v>8775</v>
      </c>
      <c r="B6246">
        <v>197674</v>
      </c>
    </row>
    <row r="6247" spans="1:2" x14ac:dyDescent="0.25">
      <c r="A6247" t="s">
        <v>8776</v>
      </c>
      <c r="B6247">
        <v>493594</v>
      </c>
    </row>
    <row r="6248" spans="1:2" x14ac:dyDescent="0.25">
      <c r="A6248" t="s">
        <v>8777</v>
      </c>
      <c r="B6248">
        <v>431983</v>
      </c>
    </row>
    <row r="6249" spans="1:2" x14ac:dyDescent="0.25">
      <c r="A6249" t="s">
        <v>8778</v>
      </c>
      <c r="B6249">
        <v>126076</v>
      </c>
    </row>
    <row r="6250" spans="1:2" x14ac:dyDescent="0.25">
      <c r="A6250" t="s">
        <v>8779</v>
      </c>
      <c r="B6250">
        <v>490504</v>
      </c>
    </row>
    <row r="6251" spans="1:2" x14ac:dyDescent="0.25">
      <c r="A6251" t="s">
        <v>8780</v>
      </c>
      <c r="B6251">
        <v>486017</v>
      </c>
    </row>
    <row r="6252" spans="1:2" x14ac:dyDescent="0.25">
      <c r="A6252" t="s">
        <v>8781</v>
      </c>
      <c r="B6252">
        <v>490276</v>
      </c>
    </row>
    <row r="6253" spans="1:2" x14ac:dyDescent="0.25">
      <c r="A6253" t="s">
        <v>8782</v>
      </c>
      <c r="B6253">
        <v>197692</v>
      </c>
    </row>
    <row r="6254" spans="1:2" x14ac:dyDescent="0.25">
      <c r="A6254" t="s">
        <v>8783</v>
      </c>
      <c r="B6254">
        <v>441609</v>
      </c>
    </row>
    <row r="6255" spans="1:2" x14ac:dyDescent="0.25">
      <c r="A6255" t="s">
        <v>8784</v>
      </c>
      <c r="B6255">
        <v>486026</v>
      </c>
    </row>
    <row r="6256" spans="1:2" x14ac:dyDescent="0.25">
      <c r="A6256" t="s">
        <v>8785</v>
      </c>
      <c r="B6256">
        <v>451398</v>
      </c>
    </row>
    <row r="6257" spans="1:2" x14ac:dyDescent="0.25">
      <c r="A6257" t="s">
        <v>8786</v>
      </c>
      <c r="B6257">
        <v>197708</v>
      </c>
    </row>
    <row r="6258" spans="1:2" x14ac:dyDescent="0.25">
      <c r="A6258" t="s">
        <v>8787</v>
      </c>
      <c r="B6258">
        <v>494737</v>
      </c>
    </row>
    <row r="6259" spans="1:2" x14ac:dyDescent="0.25">
      <c r="A6259" t="s">
        <v>8788</v>
      </c>
      <c r="B6259">
        <v>481438</v>
      </c>
    </row>
    <row r="6260" spans="1:2" x14ac:dyDescent="0.25">
      <c r="A6260" t="s">
        <v>8789</v>
      </c>
      <c r="B6260">
        <v>487746</v>
      </c>
    </row>
    <row r="6261" spans="1:2" x14ac:dyDescent="0.25">
      <c r="A6261" t="s">
        <v>8790</v>
      </c>
      <c r="B6261">
        <v>363712</v>
      </c>
    </row>
    <row r="6262" spans="1:2" x14ac:dyDescent="0.25">
      <c r="A6262" t="s">
        <v>8791</v>
      </c>
      <c r="B6262">
        <v>451370</v>
      </c>
    </row>
    <row r="6263" spans="1:2" x14ac:dyDescent="0.25">
      <c r="A6263" t="s">
        <v>8792</v>
      </c>
      <c r="B6263">
        <v>491765</v>
      </c>
    </row>
    <row r="6264" spans="1:2" x14ac:dyDescent="0.25">
      <c r="A6264" t="s">
        <v>8793</v>
      </c>
      <c r="B6264">
        <v>488101</v>
      </c>
    </row>
    <row r="6265" spans="1:2" x14ac:dyDescent="0.25">
      <c r="A6265" t="s">
        <v>8794</v>
      </c>
      <c r="B6265">
        <v>405058</v>
      </c>
    </row>
    <row r="6266" spans="1:2" x14ac:dyDescent="0.25">
      <c r="A6266" t="s">
        <v>8795</v>
      </c>
      <c r="B6266">
        <v>493664</v>
      </c>
    </row>
    <row r="6267" spans="1:2" x14ac:dyDescent="0.25">
      <c r="A6267" t="s">
        <v>8796</v>
      </c>
      <c r="B6267">
        <v>217040</v>
      </c>
    </row>
    <row r="6268" spans="1:2" x14ac:dyDescent="0.25">
      <c r="A6268" t="s">
        <v>8797</v>
      </c>
      <c r="B6268">
        <v>197735</v>
      </c>
    </row>
    <row r="6269" spans="1:2" x14ac:dyDescent="0.25">
      <c r="A6269" t="s">
        <v>8798</v>
      </c>
      <c r="B6269">
        <v>197744</v>
      </c>
    </row>
    <row r="6270" spans="1:2" x14ac:dyDescent="0.25">
      <c r="A6270" t="s">
        <v>8799</v>
      </c>
      <c r="B6270">
        <v>401250</v>
      </c>
    </row>
    <row r="6271" spans="1:2" x14ac:dyDescent="0.25">
      <c r="A6271" t="s">
        <v>8800</v>
      </c>
      <c r="B6271">
        <v>181853</v>
      </c>
    </row>
    <row r="6272" spans="1:2" x14ac:dyDescent="0.25">
      <c r="A6272" t="s">
        <v>8801</v>
      </c>
      <c r="B6272">
        <v>217059</v>
      </c>
    </row>
    <row r="6273" spans="1:2" x14ac:dyDescent="0.25">
      <c r="A6273" t="s">
        <v>8802</v>
      </c>
      <c r="B6273">
        <v>420440</v>
      </c>
    </row>
    <row r="6274" spans="1:2" x14ac:dyDescent="0.25">
      <c r="A6274" t="s">
        <v>8803</v>
      </c>
      <c r="B6274">
        <v>418409</v>
      </c>
    </row>
    <row r="6275" spans="1:2" x14ac:dyDescent="0.25">
      <c r="A6275" t="s">
        <v>8804</v>
      </c>
      <c r="B6275">
        <v>218991</v>
      </c>
    </row>
    <row r="6276" spans="1:2" x14ac:dyDescent="0.25">
      <c r="A6276" t="s">
        <v>8805</v>
      </c>
      <c r="B6276">
        <v>126100</v>
      </c>
    </row>
    <row r="6277" spans="1:2" x14ac:dyDescent="0.25">
      <c r="A6277" t="s">
        <v>8806</v>
      </c>
      <c r="B6277">
        <v>493619</v>
      </c>
    </row>
    <row r="6278" spans="1:2" x14ac:dyDescent="0.25">
      <c r="A6278" t="s">
        <v>8807</v>
      </c>
      <c r="B6278">
        <v>141361</v>
      </c>
    </row>
    <row r="6279" spans="1:2" x14ac:dyDescent="0.25">
      <c r="A6279" t="s">
        <v>8808</v>
      </c>
      <c r="B6279">
        <v>206695</v>
      </c>
    </row>
    <row r="6280" spans="1:2" x14ac:dyDescent="0.25">
      <c r="A6280" t="s">
        <v>8809</v>
      </c>
      <c r="B6280">
        <v>375939</v>
      </c>
    </row>
    <row r="6281" spans="1:2" x14ac:dyDescent="0.25">
      <c r="A6281" t="s">
        <v>8810</v>
      </c>
      <c r="B6281">
        <v>217077</v>
      </c>
    </row>
    <row r="6282" spans="1:2" x14ac:dyDescent="0.25">
      <c r="A6282" t="s">
        <v>8811</v>
      </c>
      <c r="B6282">
        <v>126119</v>
      </c>
    </row>
    <row r="6283" spans="1:2" x14ac:dyDescent="0.25">
      <c r="A6283" t="s">
        <v>8812</v>
      </c>
      <c r="B6283">
        <v>413820</v>
      </c>
    </row>
    <row r="6284" spans="1:2" x14ac:dyDescent="0.25">
      <c r="A6284" t="s">
        <v>8813</v>
      </c>
      <c r="B6284">
        <v>451237</v>
      </c>
    </row>
    <row r="6285" spans="1:2" x14ac:dyDescent="0.25">
      <c r="A6285" t="s">
        <v>8814</v>
      </c>
      <c r="B6285">
        <v>204255</v>
      </c>
    </row>
    <row r="6286" spans="1:2" x14ac:dyDescent="0.25">
      <c r="A6286" t="s">
        <v>8815</v>
      </c>
      <c r="B6286">
        <v>458575</v>
      </c>
    </row>
    <row r="6287" spans="1:2" x14ac:dyDescent="0.25">
      <c r="A6287" t="s">
        <v>8816</v>
      </c>
      <c r="B6287">
        <v>496520</v>
      </c>
    </row>
    <row r="6288" spans="1:2" x14ac:dyDescent="0.25">
      <c r="A6288" t="s">
        <v>8817</v>
      </c>
      <c r="B6288">
        <v>495101</v>
      </c>
    </row>
    <row r="6289" spans="1:2" x14ac:dyDescent="0.25">
      <c r="A6289" t="s">
        <v>8818</v>
      </c>
      <c r="B6289">
        <v>486248</v>
      </c>
    </row>
    <row r="6290" spans="1:2" x14ac:dyDescent="0.25">
      <c r="A6290" t="s">
        <v>8819</v>
      </c>
      <c r="B6290">
        <v>496423</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A21E6-D0A8-4ED1-9574-C598C73A58FE}">
  <dimension ref="A1:C2849"/>
  <sheetViews>
    <sheetView workbookViewId="0">
      <selection activeCell="D1" sqref="D1"/>
    </sheetView>
  </sheetViews>
  <sheetFormatPr defaultRowHeight="15.75" x14ac:dyDescent="0.25"/>
  <cols>
    <col min="1" max="1" width="63.625" customWidth="1"/>
    <col min="2" max="2" width="7.625" bestFit="1" customWidth="1"/>
    <col min="3" max="3" width="8.75" bestFit="1" customWidth="1"/>
  </cols>
  <sheetData>
    <row r="1" spans="1:3" x14ac:dyDescent="0.25">
      <c r="A1" t="s">
        <v>82</v>
      </c>
      <c r="B1" t="s">
        <v>81</v>
      </c>
      <c r="C1" t="s">
        <v>80</v>
      </c>
    </row>
    <row r="2" spans="1:3" x14ac:dyDescent="0.25">
      <c r="A2" t="s">
        <v>1788</v>
      </c>
      <c r="B2" t="str">
        <f>"01"</f>
        <v>01</v>
      </c>
      <c r="C2" t="str">
        <f>"01"</f>
        <v>01</v>
      </c>
    </row>
    <row r="3" spans="1:3" x14ac:dyDescent="0.25">
      <c r="A3" t="s">
        <v>83</v>
      </c>
      <c r="B3" t="str">
        <f>"01.00"</f>
        <v>01.00</v>
      </c>
      <c r="C3" t="str">
        <f t="shared" ref="C3:C66" si="0">"01"</f>
        <v>01</v>
      </c>
    </row>
    <row r="4" spans="1:3" x14ac:dyDescent="0.25">
      <c r="A4" t="s">
        <v>83</v>
      </c>
      <c r="B4" t="str">
        <f>"01.0000"</f>
        <v>01.0000</v>
      </c>
      <c r="C4" t="str">
        <f t="shared" si="0"/>
        <v>01</v>
      </c>
    </row>
    <row r="5" spans="1:3" x14ac:dyDescent="0.25">
      <c r="A5" t="s">
        <v>84</v>
      </c>
      <c r="B5" t="str">
        <f>"01.01"</f>
        <v>01.01</v>
      </c>
      <c r="C5" t="str">
        <f t="shared" si="0"/>
        <v>01</v>
      </c>
    </row>
    <row r="6" spans="1:3" x14ac:dyDescent="0.25">
      <c r="A6" t="s">
        <v>85</v>
      </c>
      <c r="B6" t="str">
        <f>"01.0101"</f>
        <v>01.0101</v>
      </c>
      <c r="C6" t="str">
        <f t="shared" si="0"/>
        <v>01</v>
      </c>
    </row>
    <row r="7" spans="1:3" x14ac:dyDescent="0.25">
      <c r="A7" t="s">
        <v>86</v>
      </c>
      <c r="B7" t="str">
        <f>"01.0102"</f>
        <v>01.0102</v>
      </c>
      <c r="C7" t="str">
        <f t="shared" si="0"/>
        <v>01</v>
      </c>
    </row>
    <row r="8" spans="1:3" x14ac:dyDescent="0.25">
      <c r="A8" t="s">
        <v>87</v>
      </c>
      <c r="B8" t="str">
        <f>"01.0103"</f>
        <v>01.0103</v>
      </c>
      <c r="C8" t="str">
        <f t="shared" si="0"/>
        <v>01</v>
      </c>
    </row>
    <row r="9" spans="1:3" x14ac:dyDescent="0.25">
      <c r="A9" t="s">
        <v>88</v>
      </c>
      <c r="B9" t="str">
        <f>"01.0104"</f>
        <v>01.0104</v>
      </c>
      <c r="C9" t="str">
        <f t="shared" si="0"/>
        <v>01</v>
      </c>
    </row>
    <row r="10" spans="1:3" x14ac:dyDescent="0.25">
      <c r="A10" t="s">
        <v>89</v>
      </c>
      <c r="B10" t="str">
        <f>"01.0105"</f>
        <v>01.0105</v>
      </c>
      <c r="C10" t="str">
        <f t="shared" si="0"/>
        <v>01</v>
      </c>
    </row>
    <row r="11" spans="1:3" x14ac:dyDescent="0.25">
      <c r="A11" t="s">
        <v>1789</v>
      </c>
      <c r="B11" t="str">
        <f>"01.0106"</f>
        <v>01.0106</v>
      </c>
      <c r="C11" t="str">
        <f t="shared" si="0"/>
        <v>01</v>
      </c>
    </row>
    <row r="12" spans="1:3" x14ac:dyDescent="0.25">
      <c r="A12" t="s">
        <v>90</v>
      </c>
      <c r="B12" t="str">
        <f>"01.0199"</f>
        <v>01.0199</v>
      </c>
      <c r="C12" t="str">
        <f t="shared" si="0"/>
        <v>01</v>
      </c>
    </row>
    <row r="13" spans="1:3" x14ac:dyDescent="0.25">
      <c r="A13" t="s">
        <v>91</v>
      </c>
      <c r="B13" t="str">
        <f>"01.02"</f>
        <v>01.02</v>
      </c>
      <c r="C13" t="str">
        <f t="shared" si="0"/>
        <v>01</v>
      </c>
    </row>
    <row r="14" spans="1:3" x14ac:dyDescent="0.25">
      <c r="A14" t="s">
        <v>92</v>
      </c>
      <c r="B14" t="str">
        <f>"01.0201"</f>
        <v>01.0201</v>
      </c>
      <c r="C14" t="str">
        <f t="shared" si="0"/>
        <v>01</v>
      </c>
    </row>
    <row r="15" spans="1:3" x14ac:dyDescent="0.25">
      <c r="A15" t="s">
        <v>93</v>
      </c>
      <c r="B15" t="str">
        <f>"01.0204"</f>
        <v>01.0204</v>
      </c>
      <c r="C15" t="str">
        <f t="shared" si="0"/>
        <v>01</v>
      </c>
    </row>
    <row r="16" spans="1:3" x14ac:dyDescent="0.25">
      <c r="A16" t="s">
        <v>1790</v>
      </c>
      <c r="B16" t="str">
        <f>"01.0205"</f>
        <v>01.0205</v>
      </c>
      <c r="C16" t="str">
        <f t="shared" si="0"/>
        <v>01</v>
      </c>
    </row>
    <row r="17" spans="1:3" x14ac:dyDescent="0.25">
      <c r="A17" t="s">
        <v>1791</v>
      </c>
      <c r="B17" t="str">
        <f>"01.0207"</f>
        <v>01.0207</v>
      </c>
      <c r="C17" t="str">
        <f t="shared" si="0"/>
        <v>01</v>
      </c>
    </row>
    <row r="18" spans="1:3" x14ac:dyDescent="0.25">
      <c r="A18" t="s">
        <v>94</v>
      </c>
      <c r="B18" t="str">
        <f>"01.0299"</f>
        <v>01.0299</v>
      </c>
      <c r="C18" t="str">
        <f t="shared" si="0"/>
        <v>01</v>
      </c>
    </row>
    <row r="19" spans="1:3" x14ac:dyDescent="0.25">
      <c r="A19" t="s">
        <v>95</v>
      </c>
      <c r="B19" t="str">
        <f>"01.03"</f>
        <v>01.03</v>
      </c>
      <c r="C19" t="str">
        <f t="shared" si="0"/>
        <v>01</v>
      </c>
    </row>
    <row r="20" spans="1:3" x14ac:dyDescent="0.25">
      <c r="A20" t="s">
        <v>96</v>
      </c>
      <c r="B20" t="str">
        <f>"01.0301"</f>
        <v>01.0301</v>
      </c>
      <c r="C20" t="str">
        <f t="shared" si="0"/>
        <v>01</v>
      </c>
    </row>
    <row r="21" spans="1:3" x14ac:dyDescent="0.25">
      <c r="A21" t="s">
        <v>97</v>
      </c>
      <c r="B21" t="str">
        <f>"01.0302"</f>
        <v>01.0302</v>
      </c>
      <c r="C21" t="str">
        <f t="shared" si="0"/>
        <v>01</v>
      </c>
    </row>
    <row r="22" spans="1:3" x14ac:dyDescent="0.25">
      <c r="A22" t="s">
        <v>98</v>
      </c>
      <c r="B22" t="str">
        <f>"01.0303"</f>
        <v>01.0303</v>
      </c>
      <c r="C22" t="str">
        <f t="shared" si="0"/>
        <v>01</v>
      </c>
    </row>
    <row r="23" spans="1:3" x14ac:dyDescent="0.25">
      <c r="A23" t="s">
        <v>99</v>
      </c>
      <c r="B23" t="str">
        <f>"01.0304"</f>
        <v>01.0304</v>
      </c>
      <c r="C23" t="str">
        <f t="shared" si="0"/>
        <v>01</v>
      </c>
    </row>
    <row r="24" spans="1:3" x14ac:dyDescent="0.25">
      <c r="A24" t="s">
        <v>100</v>
      </c>
      <c r="B24" t="str">
        <f>"01.0306"</f>
        <v>01.0306</v>
      </c>
      <c r="C24" t="str">
        <f t="shared" si="0"/>
        <v>01</v>
      </c>
    </row>
    <row r="25" spans="1:3" x14ac:dyDescent="0.25">
      <c r="A25" t="s">
        <v>101</v>
      </c>
      <c r="B25" t="str">
        <f>"01.0307"</f>
        <v>01.0307</v>
      </c>
      <c r="C25" t="str">
        <f t="shared" si="0"/>
        <v>01</v>
      </c>
    </row>
    <row r="26" spans="1:3" x14ac:dyDescent="0.25">
      <c r="A26" t="s">
        <v>102</v>
      </c>
      <c r="B26" t="str">
        <f>"01.0308"</f>
        <v>01.0308</v>
      </c>
      <c r="C26" t="str">
        <f t="shared" si="0"/>
        <v>01</v>
      </c>
    </row>
    <row r="27" spans="1:3" x14ac:dyDescent="0.25">
      <c r="A27" t="s">
        <v>103</v>
      </c>
      <c r="B27" t="str">
        <f>"01.0309"</f>
        <v>01.0309</v>
      </c>
      <c r="C27" t="str">
        <f t="shared" si="0"/>
        <v>01</v>
      </c>
    </row>
    <row r="28" spans="1:3" x14ac:dyDescent="0.25">
      <c r="A28" t="s">
        <v>1792</v>
      </c>
      <c r="B28" t="str">
        <f>"01.0310"</f>
        <v>01.0310</v>
      </c>
      <c r="C28" t="str">
        <f t="shared" si="0"/>
        <v>01</v>
      </c>
    </row>
    <row r="29" spans="1:3" x14ac:dyDescent="0.25">
      <c r="A29" t="s">
        <v>104</v>
      </c>
      <c r="B29" t="str">
        <f>"01.0399"</f>
        <v>01.0399</v>
      </c>
      <c r="C29" t="str">
        <f t="shared" si="0"/>
        <v>01</v>
      </c>
    </row>
    <row r="30" spans="1:3" x14ac:dyDescent="0.25">
      <c r="A30" t="s">
        <v>105</v>
      </c>
      <c r="B30" t="str">
        <f>"01.04"</f>
        <v>01.04</v>
      </c>
      <c r="C30" t="str">
        <f t="shared" si="0"/>
        <v>01</v>
      </c>
    </row>
    <row r="31" spans="1:3" x14ac:dyDescent="0.25">
      <c r="A31" t="s">
        <v>105</v>
      </c>
      <c r="B31" t="str">
        <f>"01.0401"</f>
        <v>01.0401</v>
      </c>
      <c r="C31" t="str">
        <f t="shared" si="0"/>
        <v>01</v>
      </c>
    </row>
    <row r="32" spans="1:3" x14ac:dyDescent="0.25">
      <c r="A32" t="s">
        <v>1793</v>
      </c>
      <c r="B32" t="str">
        <f>"01.0480"</f>
        <v>01.0480</v>
      </c>
      <c r="C32" t="str">
        <f t="shared" si="0"/>
        <v>01</v>
      </c>
    </row>
    <row r="33" spans="1:3" x14ac:dyDescent="0.25">
      <c r="A33" t="s">
        <v>106</v>
      </c>
      <c r="B33" t="str">
        <f>"01.05"</f>
        <v>01.05</v>
      </c>
      <c r="C33" t="str">
        <f t="shared" si="0"/>
        <v>01</v>
      </c>
    </row>
    <row r="34" spans="1:3" x14ac:dyDescent="0.25">
      <c r="A34" t="s">
        <v>107</v>
      </c>
      <c r="B34" t="str">
        <f>"01.0504"</f>
        <v>01.0504</v>
      </c>
      <c r="C34" t="str">
        <f t="shared" si="0"/>
        <v>01</v>
      </c>
    </row>
    <row r="35" spans="1:3" x14ac:dyDescent="0.25">
      <c r="A35" t="s">
        <v>108</v>
      </c>
      <c r="B35" t="str">
        <f>"01.0505"</f>
        <v>01.0505</v>
      </c>
      <c r="C35" t="str">
        <f t="shared" si="0"/>
        <v>01</v>
      </c>
    </row>
    <row r="36" spans="1:3" x14ac:dyDescent="0.25">
      <c r="A36" t="s">
        <v>109</v>
      </c>
      <c r="B36" t="str">
        <f>"01.0507"</f>
        <v>01.0507</v>
      </c>
      <c r="C36" t="str">
        <f t="shared" si="0"/>
        <v>01</v>
      </c>
    </row>
    <row r="37" spans="1:3" x14ac:dyDescent="0.25">
      <c r="A37" t="s">
        <v>110</v>
      </c>
      <c r="B37" t="str">
        <f>"01.0508"</f>
        <v>01.0508</v>
      </c>
      <c r="C37" t="str">
        <f t="shared" si="0"/>
        <v>01</v>
      </c>
    </row>
    <row r="38" spans="1:3" x14ac:dyDescent="0.25">
      <c r="A38" t="s">
        <v>1794</v>
      </c>
      <c r="B38" t="str">
        <f>"01.0509"</f>
        <v>01.0509</v>
      </c>
      <c r="C38" t="str">
        <f t="shared" si="0"/>
        <v>01</v>
      </c>
    </row>
    <row r="39" spans="1:3" x14ac:dyDescent="0.25">
      <c r="A39" t="s">
        <v>111</v>
      </c>
      <c r="B39" t="str">
        <f>"01.0599"</f>
        <v>01.0599</v>
      </c>
      <c r="C39" t="str">
        <f t="shared" si="0"/>
        <v>01</v>
      </c>
    </row>
    <row r="40" spans="1:3" x14ac:dyDescent="0.25">
      <c r="A40" t="s">
        <v>112</v>
      </c>
      <c r="B40" t="str">
        <f>"01.06"</f>
        <v>01.06</v>
      </c>
      <c r="C40" t="str">
        <f t="shared" si="0"/>
        <v>01</v>
      </c>
    </row>
    <row r="41" spans="1:3" x14ac:dyDescent="0.25">
      <c r="A41" t="s">
        <v>113</v>
      </c>
      <c r="B41" t="str">
        <f>"01.0601"</f>
        <v>01.0601</v>
      </c>
      <c r="C41" t="str">
        <f t="shared" si="0"/>
        <v>01</v>
      </c>
    </row>
    <row r="42" spans="1:3" x14ac:dyDescent="0.25">
      <c r="A42" t="s">
        <v>114</v>
      </c>
      <c r="B42" t="str">
        <f>"01.0603"</f>
        <v>01.0603</v>
      </c>
      <c r="C42" t="str">
        <f t="shared" si="0"/>
        <v>01</v>
      </c>
    </row>
    <row r="43" spans="1:3" x14ac:dyDescent="0.25">
      <c r="A43" t="s">
        <v>115</v>
      </c>
      <c r="B43" t="str">
        <f>"01.0604"</f>
        <v>01.0604</v>
      </c>
      <c r="C43" t="str">
        <f t="shared" si="0"/>
        <v>01</v>
      </c>
    </row>
    <row r="44" spans="1:3" x14ac:dyDescent="0.25">
      <c r="A44" t="s">
        <v>116</v>
      </c>
      <c r="B44" t="str">
        <f>"01.0605"</f>
        <v>01.0605</v>
      </c>
      <c r="C44" t="str">
        <f t="shared" si="0"/>
        <v>01</v>
      </c>
    </row>
    <row r="45" spans="1:3" x14ac:dyDescent="0.25">
      <c r="A45" t="s">
        <v>117</v>
      </c>
      <c r="B45" t="str">
        <f>"01.0606"</f>
        <v>01.0606</v>
      </c>
      <c r="C45" t="str">
        <f t="shared" si="0"/>
        <v>01</v>
      </c>
    </row>
    <row r="46" spans="1:3" x14ac:dyDescent="0.25">
      <c r="A46" t="s">
        <v>118</v>
      </c>
      <c r="B46" t="str">
        <f>"01.0607"</f>
        <v>01.0607</v>
      </c>
      <c r="C46" t="str">
        <f t="shared" si="0"/>
        <v>01</v>
      </c>
    </row>
    <row r="47" spans="1:3" x14ac:dyDescent="0.25">
      <c r="A47" t="s">
        <v>119</v>
      </c>
      <c r="B47" t="str">
        <f>"01.0608"</f>
        <v>01.0608</v>
      </c>
      <c r="C47" t="str">
        <f t="shared" si="0"/>
        <v>01</v>
      </c>
    </row>
    <row r="48" spans="1:3" x14ac:dyDescent="0.25">
      <c r="A48" t="s">
        <v>1795</v>
      </c>
      <c r="B48" t="str">
        <f>"01.0609"</f>
        <v>01.0609</v>
      </c>
      <c r="C48" t="str">
        <f t="shared" si="0"/>
        <v>01</v>
      </c>
    </row>
    <row r="49" spans="1:3" x14ac:dyDescent="0.25">
      <c r="A49" t="s">
        <v>1796</v>
      </c>
      <c r="B49" t="str">
        <f>"01.0610"</f>
        <v>01.0610</v>
      </c>
      <c r="C49" t="str">
        <f t="shared" si="0"/>
        <v>01</v>
      </c>
    </row>
    <row r="50" spans="1:3" x14ac:dyDescent="0.25">
      <c r="A50" t="s">
        <v>1793</v>
      </c>
      <c r="B50" t="str">
        <f>"01.0680"</f>
        <v>01.0680</v>
      </c>
      <c r="C50" t="str">
        <f t="shared" si="0"/>
        <v>01</v>
      </c>
    </row>
    <row r="51" spans="1:3" x14ac:dyDescent="0.25">
      <c r="A51" t="s">
        <v>120</v>
      </c>
      <c r="B51" t="str">
        <f>"01.0699"</f>
        <v>01.0699</v>
      </c>
      <c r="C51" t="str">
        <f t="shared" si="0"/>
        <v>01</v>
      </c>
    </row>
    <row r="52" spans="1:3" x14ac:dyDescent="0.25">
      <c r="A52" t="s">
        <v>121</v>
      </c>
      <c r="B52" t="str">
        <f>"01.07"</f>
        <v>01.07</v>
      </c>
      <c r="C52" t="str">
        <f t="shared" si="0"/>
        <v>01</v>
      </c>
    </row>
    <row r="53" spans="1:3" x14ac:dyDescent="0.25">
      <c r="A53" t="s">
        <v>121</v>
      </c>
      <c r="B53" t="str">
        <f>"01.0701"</f>
        <v>01.0701</v>
      </c>
      <c r="C53" t="str">
        <f t="shared" si="0"/>
        <v>01</v>
      </c>
    </row>
    <row r="54" spans="1:3" x14ac:dyDescent="0.25">
      <c r="A54" t="s">
        <v>122</v>
      </c>
      <c r="B54" t="str">
        <f>"01.08"</f>
        <v>01.08</v>
      </c>
      <c r="C54" t="str">
        <f t="shared" si="0"/>
        <v>01</v>
      </c>
    </row>
    <row r="55" spans="1:3" x14ac:dyDescent="0.25">
      <c r="A55" t="s">
        <v>123</v>
      </c>
      <c r="B55" t="str">
        <f>"01.0801"</f>
        <v>01.0801</v>
      </c>
      <c r="C55" t="str">
        <f t="shared" si="0"/>
        <v>01</v>
      </c>
    </row>
    <row r="56" spans="1:3" x14ac:dyDescent="0.25">
      <c r="A56" t="s">
        <v>124</v>
      </c>
      <c r="B56" t="str">
        <f>"01.0802"</f>
        <v>01.0802</v>
      </c>
      <c r="C56" t="str">
        <f t="shared" si="0"/>
        <v>01</v>
      </c>
    </row>
    <row r="57" spans="1:3" x14ac:dyDescent="0.25">
      <c r="A57" t="s">
        <v>125</v>
      </c>
      <c r="B57" t="str">
        <f>"01.0899"</f>
        <v>01.0899</v>
      </c>
      <c r="C57" t="str">
        <f t="shared" si="0"/>
        <v>01</v>
      </c>
    </row>
    <row r="58" spans="1:3" x14ac:dyDescent="0.25">
      <c r="A58" t="s">
        <v>126</v>
      </c>
      <c r="B58" t="str">
        <f>"01.09"</f>
        <v>01.09</v>
      </c>
      <c r="C58" t="str">
        <f t="shared" si="0"/>
        <v>01</v>
      </c>
    </row>
    <row r="59" spans="1:3" x14ac:dyDescent="0.25">
      <c r="A59" t="s">
        <v>127</v>
      </c>
      <c r="B59" t="str">
        <f>"01.0901"</f>
        <v>01.0901</v>
      </c>
      <c r="C59" t="str">
        <f t="shared" si="0"/>
        <v>01</v>
      </c>
    </row>
    <row r="60" spans="1:3" x14ac:dyDescent="0.25">
      <c r="A60" t="s">
        <v>128</v>
      </c>
      <c r="B60" t="str">
        <f>"01.0902"</f>
        <v>01.0902</v>
      </c>
      <c r="C60" t="str">
        <f t="shared" si="0"/>
        <v>01</v>
      </c>
    </row>
    <row r="61" spans="1:3" x14ac:dyDescent="0.25">
      <c r="A61" t="s">
        <v>129</v>
      </c>
      <c r="B61" t="str">
        <f>"01.0903"</f>
        <v>01.0903</v>
      </c>
      <c r="C61" t="str">
        <f t="shared" si="0"/>
        <v>01</v>
      </c>
    </row>
    <row r="62" spans="1:3" x14ac:dyDescent="0.25">
      <c r="A62" t="s">
        <v>130</v>
      </c>
      <c r="B62" t="str">
        <f>"01.0904"</f>
        <v>01.0904</v>
      </c>
      <c r="C62" t="str">
        <f t="shared" si="0"/>
        <v>01</v>
      </c>
    </row>
    <row r="63" spans="1:3" x14ac:dyDescent="0.25">
      <c r="A63" t="s">
        <v>131</v>
      </c>
      <c r="B63" t="str">
        <f>"01.0905"</f>
        <v>01.0905</v>
      </c>
      <c r="C63" t="str">
        <f t="shared" si="0"/>
        <v>01</v>
      </c>
    </row>
    <row r="64" spans="1:3" x14ac:dyDescent="0.25">
      <c r="A64" t="s">
        <v>132</v>
      </c>
      <c r="B64" t="str">
        <f>"01.0906"</f>
        <v>01.0906</v>
      </c>
      <c r="C64" t="str">
        <f t="shared" si="0"/>
        <v>01</v>
      </c>
    </row>
    <row r="65" spans="1:3" x14ac:dyDescent="0.25">
      <c r="A65" t="s">
        <v>133</v>
      </c>
      <c r="B65" t="str">
        <f>"01.0907"</f>
        <v>01.0907</v>
      </c>
      <c r="C65" t="str">
        <f t="shared" si="0"/>
        <v>01</v>
      </c>
    </row>
    <row r="66" spans="1:3" x14ac:dyDescent="0.25">
      <c r="A66" t="s">
        <v>134</v>
      </c>
      <c r="B66" t="str">
        <f>"01.0999"</f>
        <v>01.0999</v>
      </c>
      <c r="C66" t="str">
        <f t="shared" si="0"/>
        <v>01</v>
      </c>
    </row>
    <row r="67" spans="1:3" x14ac:dyDescent="0.25">
      <c r="A67" t="s">
        <v>135</v>
      </c>
      <c r="B67" t="str">
        <f>"01.10"</f>
        <v>01.10</v>
      </c>
      <c r="C67" t="str">
        <f t="shared" ref="C67:C116" si="1">"01"</f>
        <v>01</v>
      </c>
    </row>
    <row r="68" spans="1:3" x14ac:dyDescent="0.25">
      <c r="A68" t="s">
        <v>136</v>
      </c>
      <c r="B68" t="str">
        <f>"01.1001"</f>
        <v>01.1001</v>
      </c>
      <c r="C68" t="str">
        <f t="shared" si="1"/>
        <v>01</v>
      </c>
    </row>
    <row r="69" spans="1:3" x14ac:dyDescent="0.25">
      <c r="A69" t="s">
        <v>137</v>
      </c>
      <c r="B69" t="str">
        <f>"01.1002"</f>
        <v>01.1002</v>
      </c>
      <c r="C69" t="str">
        <f t="shared" si="1"/>
        <v>01</v>
      </c>
    </row>
    <row r="70" spans="1:3" x14ac:dyDescent="0.25">
      <c r="A70" t="s">
        <v>1797</v>
      </c>
      <c r="B70" t="str">
        <f>"01.1003"</f>
        <v>01.1003</v>
      </c>
      <c r="C70" t="str">
        <f t="shared" si="1"/>
        <v>01</v>
      </c>
    </row>
    <row r="71" spans="1:3" x14ac:dyDescent="0.25">
      <c r="A71" t="s">
        <v>103</v>
      </c>
      <c r="B71" t="str">
        <f>"01.1004"</f>
        <v>01.1004</v>
      </c>
      <c r="C71" t="str">
        <f t="shared" si="1"/>
        <v>01</v>
      </c>
    </row>
    <row r="72" spans="1:3" x14ac:dyDescent="0.25">
      <c r="A72" t="s">
        <v>1798</v>
      </c>
      <c r="B72" t="str">
        <f>"01.1005"</f>
        <v>01.1005</v>
      </c>
      <c r="C72" t="str">
        <f t="shared" si="1"/>
        <v>01</v>
      </c>
    </row>
    <row r="73" spans="1:3" x14ac:dyDescent="0.25">
      <c r="A73" t="s">
        <v>138</v>
      </c>
      <c r="B73" t="str">
        <f>"01.1099"</f>
        <v>01.1099</v>
      </c>
      <c r="C73" t="str">
        <f t="shared" si="1"/>
        <v>01</v>
      </c>
    </row>
    <row r="74" spans="1:3" x14ac:dyDescent="0.25">
      <c r="A74" t="s">
        <v>139</v>
      </c>
      <c r="B74" t="str">
        <f>"01.11"</f>
        <v>01.11</v>
      </c>
      <c r="C74" t="str">
        <f t="shared" si="1"/>
        <v>01</v>
      </c>
    </row>
    <row r="75" spans="1:3" x14ac:dyDescent="0.25">
      <c r="A75" t="s">
        <v>140</v>
      </c>
      <c r="B75" t="str">
        <f>"01.1101"</f>
        <v>01.1101</v>
      </c>
      <c r="C75" t="str">
        <f t="shared" si="1"/>
        <v>01</v>
      </c>
    </row>
    <row r="76" spans="1:3" x14ac:dyDescent="0.25">
      <c r="A76" t="s">
        <v>141</v>
      </c>
      <c r="B76" t="str">
        <f>"01.1102"</f>
        <v>01.1102</v>
      </c>
      <c r="C76" t="str">
        <f t="shared" si="1"/>
        <v>01</v>
      </c>
    </row>
    <row r="77" spans="1:3" x14ac:dyDescent="0.25">
      <c r="A77" t="s">
        <v>142</v>
      </c>
      <c r="B77" t="str">
        <f>"01.1103"</f>
        <v>01.1103</v>
      </c>
      <c r="C77" t="str">
        <f t="shared" si="1"/>
        <v>01</v>
      </c>
    </row>
    <row r="78" spans="1:3" x14ac:dyDescent="0.25">
      <c r="A78" t="s">
        <v>143</v>
      </c>
      <c r="B78" t="str">
        <f>"01.1104"</f>
        <v>01.1104</v>
      </c>
      <c r="C78" t="str">
        <f t="shared" si="1"/>
        <v>01</v>
      </c>
    </row>
    <row r="79" spans="1:3" x14ac:dyDescent="0.25">
      <c r="A79" t="s">
        <v>144</v>
      </c>
      <c r="B79" t="str">
        <f>"01.1105"</f>
        <v>01.1105</v>
      </c>
      <c r="C79" t="str">
        <f t="shared" si="1"/>
        <v>01</v>
      </c>
    </row>
    <row r="80" spans="1:3" x14ac:dyDescent="0.25">
      <c r="A80" t="s">
        <v>145</v>
      </c>
      <c r="B80" t="str">
        <f>"01.1106"</f>
        <v>01.1106</v>
      </c>
      <c r="C80" t="str">
        <f t="shared" si="1"/>
        <v>01</v>
      </c>
    </row>
    <row r="81" spans="1:3" x14ac:dyDescent="0.25">
      <c r="A81" t="s">
        <v>1793</v>
      </c>
      <c r="B81" t="str">
        <f>"01.1180"</f>
        <v>01.1180</v>
      </c>
      <c r="C81" t="str">
        <f t="shared" si="1"/>
        <v>01</v>
      </c>
    </row>
    <row r="82" spans="1:3" x14ac:dyDescent="0.25">
      <c r="A82" t="s">
        <v>146</v>
      </c>
      <c r="B82" t="str">
        <f>"01.1199"</f>
        <v>01.1199</v>
      </c>
      <c r="C82" t="str">
        <f t="shared" si="1"/>
        <v>01</v>
      </c>
    </row>
    <row r="83" spans="1:3" x14ac:dyDescent="0.25">
      <c r="A83" t="s">
        <v>147</v>
      </c>
      <c r="B83" t="str">
        <f>"01.12"</f>
        <v>01.12</v>
      </c>
      <c r="C83" t="str">
        <f t="shared" si="1"/>
        <v>01</v>
      </c>
    </row>
    <row r="84" spans="1:3" x14ac:dyDescent="0.25">
      <c r="A84" t="s">
        <v>148</v>
      </c>
      <c r="B84" t="str">
        <f>"01.1201"</f>
        <v>01.1201</v>
      </c>
      <c r="C84" t="str">
        <f t="shared" si="1"/>
        <v>01</v>
      </c>
    </row>
    <row r="85" spans="1:3" x14ac:dyDescent="0.25">
      <c r="A85" t="s">
        <v>149</v>
      </c>
      <c r="B85" t="str">
        <f>"01.1202"</f>
        <v>01.1202</v>
      </c>
      <c r="C85" t="str">
        <f t="shared" si="1"/>
        <v>01</v>
      </c>
    </row>
    <row r="86" spans="1:3" x14ac:dyDescent="0.25">
      <c r="A86" t="s">
        <v>150</v>
      </c>
      <c r="B86" t="str">
        <f>"01.1203"</f>
        <v>01.1203</v>
      </c>
      <c r="C86" t="str">
        <f t="shared" si="1"/>
        <v>01</v>
      </c>
    </row>
    <row r="87" spans="1:3" x14ac:dyDescent="0.25">
      <c r="A87" t="s">
        <v>151</v>
      </c>
      <c r="B87" t="str">
        <f>"01.1299"</f>
        <v>01.1299</v>
      </c>
      <c r="C87" t="str">
        <f t="shared" si="1"/>
        <v>01</v>
      </c>
    </row>
    <row r="88" spans="1:3" x14ac:dyDescent="0.25">
      <c r="A88" t="s">
        <v>1799</v>
      </c>
      <c r="B88" t="str">
        <f>"01.13"</f>
        <v>01.13</v>
      </c>
      <c r="C88" t="str">
        <f t="shared" si="1"/>
        <v>01</v>
      </c>
    </row>
    <row r="89" spans="1:3" x14ac:dyDescent="0.25">
      <c r="A89" t="s">
        <v>1503</v>
      </c>
      <c r="B89" t="str">
        <f>"01.1302"</f>
        <v>01.1302</v>
      </c>
      <c r="C89" t="str">
        <f t="shared" si="1"/>
        <v>01</v>
      </c>
    </row>
    <row r="90" spans="1:3" x14ac:dyDescent="0.25">
      <c r="A90" t="s">
        <v>1800</v>
      </c>
      <c r="B90" t="str">
        <f>"01.1399"</f>
        <v>01.1399</v>
      </c>
      <c r="C90" t="str">
        <f t="shared" si="1"/>
        <v>01</v>
      </c>
    </row>
    <row r="91" spans="1:3" x14ac:dyDescent="0.25">
      <c r="A91" t="s">
        <v>1582</v>
      </c>
      <c r="B91" t="str">
        <f>"01.80"</f>
        <v>01.80</v>
      </c>
      <c r="C91" t="str">
        <f t="shared" si="1"/>
        <v>01</v>
      </c>
    </row>
    <row r="92" spans="1:3" x14ac:dyDescent="0.25">
      <c r="A92" t="s">
        <v>1582</v>
      </c>
      <c r="B92" t="str">
        <f>"01.8001"</f>
        <v>01.8001</v>
      </c>
      <c r="C92" t="str">
        <f t="shared" si="1"/>
        <v>01</v>
      </c>
    </row>
    <row r="93" spans="1:3" x14ac:dyDescent="0.25">
      <c r="A93" t="s">
        <v>1583</v>
      </c>
      <c r="B93" t="str">
        <f>"01.81"</f>
        <v>01.81</v>
      </c>
      <c r="C93" t="str">
        <f t="shared" si="1"/>
        <v>01</v>
      </c>
    </row>
    <row r="94" spans="1:3" x14ac:dyDescent="0.25">
      <c r="A94" t="s">
        <v>1584</v>
      </c>
      <c r="B94" t="str">
        <f>"01.8101"</f>
        <v>01.8101</v>
      </c>
      <c r="C94" t="str">
        <f t="shared" si="1"/>
        <v>01</v>
      </c>
    </row>
    <row r="95" spans="1:3" x14ac:dyDescent="0.25">
      <c r="A95" t="s">
        <v>1592</v>
      </c>
      <c r="B95" t="str">
        <f>"01.8102"</f>
        <v>01.8102</v>
      </c>
      <c r="C95" t="str">
        <f t="shared" si="1"/>
        <v>01</v>
      </c>
    </row>
    <row r="96" spans="1:3" x14ac:dyDescent="0.25">
      <c r="A96" t="s">
        <v>1590</v>
      </c>
      <c r="B96" t="str">
        <f>"01.8103"</f>
        <v>01.8103</v>
      </c>
      <c r="C96" t="str">
        <f t="shared" si="1"/>
        <v>01</v>
      </c>
    </row>
    <row r="97" spans="1:3" x14ac:dyDescent="0.25">
      <c r="A97" t="s">
        <v>1591</v>
      </c>
      <c r="B97" t="str">
        <f>"01.8104"</f>
        <v>01.8104</v>
      </c>
      <c r="C97" t="str">
        <f t="shared" si="1"/>
        <v>01</v>
      </c>
    </row>
    <row r="98" spans="1:3" x14ac:dyDescent="0.25">
      <c r="A98" t="s">
        <v>1585</v>
      </c>
      <c r="B98" t="str">
        <f>"01.8105"</f>
        <v>01.8105</v>
      </c>
      <c r="C98" t="str">
        <f t="shared" si="1"/>
        <v>01</v>
      </c>
    </row>
    <row r="99" spans="1:3" x14ac:dyDescent="0.25">
      <c r="A99" t="s">
        <v>1594</v>
      </c>
      <c r="B99" t="str">
        <f>"01.8106"</f>
        <v>01.8106</v>
      </c>
      <c r="C99" t="str">
        <f t="shared" si="1"/>
        <v>01</v>
      </c>
    </row>
    <row r="100" spans="1:3" x14ac:dyDescent="0.25">
      <c r="A100" t="s">
        <v>1587</v>
      </c>
      <c r="B100" t="str">
        <f>"01.8107"</f>
        <v>01.8107</v>
      </c>
      <c r="C100" t="str">
        <f t="shared" si="1"/>
        <v>01</v>
      </c>
    </row>
    <row r="101" spans="1:3" x14ac:dyDescent="0.25">
      <c r="A101" t="s">
        <v>1588</v>
      </c>
      <c r="B101" t="str">
        <f>"01.8108"</f>
        <v>01.8108</v>
      </c>
      <c r="C101" t="str">
        <f t="shared" si="1"/>
        <v>01</v>
      </c>
    </row>
    <row r="102" spans="1:3" x14ac:dyDescent="0.25">
      <c r="A102" t="s">
        <v>1586</v>
      </c>
      <c r="B102" t="str">
        <f>"01.8109"</f>
        <v>01.8109</v>
      </c>
      <c r="C102" t="str">
        <f t="shared" si="1"/>
        <v>01</v>
      </c>
    </row>
    <row r="103" spans="1:3" x14ac:dyDescent="0.25">
      <c r="A103" t="s">
        <v>1593</v>
      </c>
      <c r="B103" t="str">
        <f>"01.8110"</f>
        <v>01.8110</v>
      </c>
      <c r="C103" t="str">
        <f t="shared" si="1"/>
        <v>01</v>
      </c>
    </row>
    <row r="104" spans="1:3" x14ac:dyDescent="0.25">
      <c r="A104" t="s">
        <v>1589</v>
      </c>
      <c r="B104" t="str">
        <f>"01.8111"</f>
        <v>01.8111</v>
      </c>
      <c r="C104" t="str">
        <f t="shared" si="1"/>
        <v>01</v>
      </c>
    </row>
    <row r="105" spans="1:3" x14ac:dyDescent="0.25">
      <c r="A105" t="s">
        <v>1595</v>
      </c>
      <c r="B105" t="str">
        <f>"01.8199"</f>
        <v>01.8199</v>
      </c>
      <c r="C105" t="str">
        <f t="shared" si="1"/>
        <v>01</v>
      </c>
    </row>
    <row r="106" spans="1:3" x14ac:dyDescent="0.25">
      <c r="A106" t="s">
        <v>1801</v>
      </c>
      <c r="B106" t="str">
        <f>"01.82"</f>
        <v>01.82</v>
      </c>
      <c r="C106" t="str">
        <f t="shared" si="1"/>
        <v>01</v>
      </c>
    </row>
    <row r="107" spans="1:3" x14ac:dyDescent="0.25">
      <c r="A107" t="s">
        <v>1802</v>
      </c>
      <c r="B107" t="str">
        <f>"01.8201"</f>
        <v>01.8201</v>
      </c>
      <c r="C107" t="str">
        <f t="shared" si="1"/>
        <v>01</v>
      </c>
    </row>
    <row r="108" spans="1:3" x14ac:dyDescent="0.25">
      <c r="A108" t="s">
        <v>1803</v>
      </c>
      <c r="B108" t="str">
        <f>"01.8202"</f>
        <v>01.8202</v>
      </c>
      <c r="C108" t="str">
        <f t="shared" si="1"/>
        <v>01</v>
      </c>
    </row>
    <row r="109" spans="1:3" x14ac:dyDescent="0.25">
      <c r="A109" t="s">
        <v>1804</v>
      </c>
      <c r="B109" t="str">
        <f>"01.8203"</f>
        <v>01.8203</v>
      </c>
      <c r="C109" t="str">
        <f t="shared" si="1"/>
        <v>01</v>
      </c>
    </row>
    <row r="110" spans="1:3" x14ac:dyDescent="0.25">
      <c r="A110" t="s">
        <v>1805</v>
      </c>
      <c r="B110" t="str">
        <f>"01.8204"</f>
        <v>01.8204</v>
      </c>
      <c r="C110" t="str">
        <f t="shared" si="1"/>
        <v>01</v>
      </c>
    </row>
    <row r="111" spans="1:3" x14ac:dyDescent="0.25">
      <c r="A111" t="s">
        <v>1806</v>
      </c>
      <c r="B111" t="str">
        <f>"01.8299"</f>
        <v>01.8299</v>
      </c>
      <c r="C111" t="str">
        <f t="shared" si="1"/>
        <v>01</v>
      </c>
    </row>
    <row r="112" spans="1:3" x14ac:dyDescent="0.25">
      <c r="A112" t="s">
        <v>1807</v>
      </c>
      <c r="B112" t="str">
        <f>"01.83"</f>
        <v>01.83</v>
      </c>
      <c r="C112" t="str">
        <f t="shared" si="1"/>
        <v>01</v>
      </c>
    </row>
    <row r="113" spans="1:3" x14ac:dyDescent="0.25">
      <c r="A113" t="s">
        <v>1456</v>
      </c>
      <c r="B113" t="str">
        <f>"01.8301"</f>
        <v>01.8301</v>
      </c>
      <c r="C113" t="str">
        <f t="shared" si="1"/>
        <v>01</v>
      </c>
    </row>
    <row r="114" spans="1:3" x14ac:dyDescent="0.25">
      <c r="A114" t="s">
        <v>1808</v>
      </c>
      <c r="B114" t="str">
        <f>"01.8399"</f>
        <v>01.8399</v>
      </c>
      <c r="C114" t="str">
        <f t="shared" si="1"/>
        <v>01</v>
      </c>
    </row>
    <row r="115" spans="1:3" x14ac:dyDescent="0.25">
      <c r="A115" t="s">
        <v>1809</v>
      </c>
      <c r="B115" t="str">
        <f>"01.99"</f>
        <v>01.99</v>
      </c>
      <c r="C115" t="str">
        <f t="shared" si="1"/>
        <v>01</v>
      </c>
    </row>
    <row r="116" spans="1:3" x14ac:dyDescent="0.25">
      <c r="A116" t="s">
        <v>1809</v>
      </c>
      <c r="B116" t="str">
        <f>"01.9999"</f>
        <v>01.9999</v>
      </c>
      <c r="C116" t="str">
        <f t="shared" si="1"/>
        <v>01</v>
      </c>
    </row>
    <row r="117" spans="1:3" x14ac:dyDescent="0.25">
      <c r="A117" t="s">
        <v>152</v>
      </c>
      <c r="B117" t="str">
        <f>"03"</f>
        <v>03</v>
      </c>
      <c r="C117" t="str">
        <f>"03"</f>
        <v>03</v>
      </c>
    </row>
    <row r="118" spans="1:3" x14ac:dyDescent="0.25">
      <c r="A118" t="s">
        <v>153</v>
      </c>
      <c r="B118" t="str">
        <f>"03.01"</f>
        <v>03.01</v>
      </c>
      <c r="C118" t="str">
        <f t="shared" ref="C118:C147" si="2">"03"</f>
        <v>03</v>
      </c>
    </row>
    <row r="119" spans="1:3" x14ac:dyDescent="0.25">
      <c r="A119" t="s">
        <v>154</v>
      </c>
      <c r="B119" t="str">
        <f>"03.0101"</f>
        <v>03.0101</v>
      </c>
      <c r="C119" t="str">
        <f t="shared" si="2"/>
        <v>03</v>
      </c>
    </row>
    <row r="120" spans="1:3" x14ac:dyDescent="0.25">
      <c r="A120" t="s">
        <v>155</v>
      </c>
      <c r="B120" t="str">
        <f>"03.0103"</f>
        <v>03.0103</v>
      </c>
      <c r="C120" t="str">
        <f t="shared" si="2"/>
        <v>03</v>
      </c>
    </row>
    <row r="121" spans="1:3" x14ac:dyDescent="0.25">
      <c r="A121" t="s">
        <v>156</v>
      </c>
      <c r="B121" t="str">
        <f>"03.0104"</f>
        <v>03.0104</v>
      </c>
      <c r="C121" t="str">
        <f t="shared" si="2"/>
        <v>03</v>
      </c>
    </row>
    <row r="122" spans="1:3" x14ac:dyDescent="0.25">
      <c r="A122" t="s">
        <v>157</v>
      </c>
      <c r="B122" t="str">
        <f>"03.0199"</f>
        <v>03.0199</v>
      </c>
      <c r="C122" t="str">
        <f t="shared" si="2"/>
        <v>03</v>
      </c>
    </row>
    <row r="123" spans="1:3" x14ac:dyDescent="0.25">
      <c r="A123" t="s">
        <v>1810</v>
      </c>
      <c r="B123" t="str">
        <f>"03.02"</f>
        <v>03.02</v>
      </c>
      <c r="C123" t="str">
        <f t="shared" si="2"/>
        <v>03</v>
      </c>
    </row>
    <row r="124" spans="1:3" x14ac:dyDescent="0.25">
      <c r="A124" t="s">
        <v>1811</v>
      </c>
      <c r="B124" t="str">
        <f>"03.0201"</f>
        <v>03.0201</v>
      </c>
      <c r="C124" t="str">
        <f t="shared" si="2"/>
        <v>03</v>
      </c>
    </row>
    <row r="125" spans="1:3" x14ac:dyDescent="0.25">
      <c r="A125" t="s">
        <v>1812</v>
      </c>
      <c r="B125" t="str">
        <f>"03.0204"</f>
        <v>03.0204</v>
      </c>
      <c r="C125" t="str">
        <f t="shared" si="2"/>
        <v>03</v>
      </c>
    </row>
    <row r="126" spans="1:3" x14ac:dyDescent="0.25">
      <c r="A126" t="s">
        <v>158</v>
      </c>
      <c r="B126" t="str">
        <f>"03.0205"</f>
        <v>03.0205</v>
      </c>
      <c r="C126" t="str">
        <f t="shared" si="2"/>
        <v>03</v>
      </c>
    </row>
    <row r="127" spans="1:3" x14ac:dyDescent="0.25">
      <c r="A127" t="s">
        <v>159</v>
      </c>
      <c r="B127" t="str">
        <f>"03.0206"</f>
        <v>03.0206</v>
      </c>
      <c r="C127" t="str">
        <f t="shared" si="2"/>
        <v>03</v>
      </c>
    </row>
    <row r="128" spans="1:3" x14ac:dyDescent="0.25">
      <c r="A128" t="s">
        <v>1813</v>
      </c>
      <c r="B128" t="str">
        <f>"03.0207"</f>
        <v>03.0207</v>
      </c>
      <c r="C128" t="str">
        <f t="shared" si="2"/>
        <v>03</v>
      </c>
    </row>
    <row r="129" spans="1:3" x14ac:dyDescent="0.25">
      <c r="A129" t="s">
        <v>1814</v>
      </c>
      <c r="B129" t="str">
        <f>"03.0208"</f>
        <v>03.0208</v>
      </c>
      <c r="C129" t="str">
        <f t="shared" si="2"/>
        <v>03</v>
      </c>
    </row>
    <row r="130" spans="1:3" x14ac:dyDescent="0.25">
      <c r="A130" t="s">
        <v>1815</v>
      </c>
      <c r="B130" t="str">
        <f>"03.0209"</f>
        <v>03.0209</v>
      </c>
      <c r="C130" t="str">
        <f t="shared" si="2"/>
        <v>03</v>
      </c>
    </row>
    <row r="131" spans="1:3" x14ac:dyDescent="0.25">
      <c r="A131" t="s">
        <v>1816</v>
      </c>
      <c r="B131" t="str">
        <f>"03.0210"</f>
        <v>03.0210</v>
      </c>
      <c r="C131" t="str">
        <f t="shared" si="2"/>
        <v>03</v>
      </c>
    </row>
    <row r="132" spans="1:3" x14ac:dyDescent="0.25">
      <c r="A132" t="s">
        <v>1817</v>
      </c>
      <c r="B132" t="str">
        <f>"03.0299"</f>
        <v>03.0299</v>
      </c>
      <c r="C132" t="str">
        <f t="shared" si="2"/>
        <v>03</v>
      </c>
    </row>
    <row r="133" spans="1:3" x14ac:dyDescent="0.25">
      <c r="A133" t="s">
        <v>160</v>
      </c>
      <c r="B133" t="str">
        <f>"03.03"</f>
        <v>03.03</v>
      </c>
      <c r="C133" t="str">
        <f t="shared" si="2"/>
        <v>03</v>
      </c>
    </row>
    <row r="134" spans="1:3" x14ac:dyDescent="0.25">
      <c r="A134" t="s">
        <v>160</v>
      </c>
      <c r="B134" t="str">
        <f>"03.0301"</f>
        <v>03.0301</v>
      </c>
      <c r="C134" t="str">
        <f t="shared" si="2"/>
        <v>03</v>
      </c>
    </row>
    <row r="135" spans="1:3" x14ac:dyDescent="0.25">
      <c r="A135" t="s">
        <v>161</v>
      </c>
      <c r="B135" t="str">
        <f>"03.05"</f>
        <v>03.05</v>
      </c>
      <c r="C135" t="str">
        <f t="shared" si="2"/>
        <v>03</v>
      </c>
    </row>
    <row r="136" spans="1:3" x14ac:dyDescent="0.25">
      <c r="A136" t="s">
        <v>162</v>
      </c>
      <c r="B136" t="str">
        <f>"03.0501"</f>
        <v>03.0501</v>
      </c>
      <c r="C136" t="str">
        <f t="shared" si="2"/>
        <v>03</v>
      </c>
    </row>
    <row r="137" spans="1:3" x14ac:dyDescent="0.25">
      <c r="A137" t="s">
        <v>163</v>
      </c>
      <c r="B137" t="str">
        <f>"03.0502"</f>
        <v>03.0502</v>
      </c>
      <c r="C137" t="str">
        <f t="shared" si="2"/>
        <v>03</v>
      </c>
    </row>
    <row r="138" spans="1:3" x14ac:dyDescent="0.25">
      <c r="A138" t="s">
        <v>164</v>
      </c>
      <c r="B138" t="str">
        <f>"03.0506"</f>
        <v>03.0506</v>
      </c>
      <c r="C138" t="str">
        <f t="shared" si="2"/>
        <v>03</v>
      </c>
    </row>
    <row r="139" spans="1:3" x14ac:dyDescent="0.25">
      <c r="A139" t="s">
        <v>165</v>
      </c>
      <c r="B139" t="str">
        <f>"03.0508"</f>
        <v>03.0508</v>
      </c>
      <c r="C139" t="str">
        <f t="shared" si="2"/>
        <v>03</v>
      </c>
    </row>
    <row r="140" spans="1:3" x14ac:dyDescent="0.25">
      <c r="A140" t="s">
        <v>1818</v>
      </c>
      <c r="B140" t="str">
        <f>"03.0509"</f>
        <v>03.0509</v>
      </c>
      <c r="C140" t="str">
        <f t="shared" si="2"/>
        <v>03</v>
      </c>
    </row>
    <row r="141" spans="1:3" x14ac:dyDescent="0.25">
      <c r="A141" t="s">
        <v>166</v>
      </c>
      <c r="B141" t="str">
        <f>"03.0510"</f>
        <v>03.0510</v>
      </c>
      <c r="C141" t="str">
        <f t="shared" si="2"/>
        <v>03</v>
      </c>
    </row>
    <row r="142" spans="1:3" x14ac:dyDescent="0.25">
      <c r="A142" t="s">
        <v>167</v>
      </c>
      <c r="B142" t="str">
        <f>"03.0511"</f>
        <v>03.0511</v>
      </c>
      <c r="C142" t="str">
        <f t="shared" si="2"/>
        <v>03</v>
      </c>
    </row>
    <row r="143" spans="1:3" x14ac:dyDescent="0.25">
      <c r="A143" t="s">
        <v>168</v>
      </c>
      <c r="B143" t="str">
        <f>"03.0599"</f>
        <v>03.0599</v>
      </c>
      <c r="C143" t="str">
        <f t="shared" si="2"/>
        <v>03</v>
      </c>
    </row>
    <row r="144" spans="1:3" x14ac:dyDescent="0.25">
      <c r="A144" t="s">
        <v>169</v>
      </c>
      <c r="B144" t="str">
        <f>"03.06"</f>
        <v>03.06</v>
      </c>
      <c r="C144" t="str">
        <f t="shared" si="2"/>
        <v>03</v>
      </c>
    </row>
    <row r="145" spans="1:3" x14ac:dyDescent="0.25">
      <c r="A145" t="s">
        <v>1819</v>
      </c>
      <c r="B145" t="str">
        <f>"03.0601"</f>
        <v>03.0601</v>
      </c>
      <c r="C145" t="str">
        <f t="shared" si="2"/>
        <v>03</v>
      </c>
    </row>
    <row r="146" spans="1:3" x14ac:dyDescent="0.25">
      <c r="A146" t="s">
        <v>170</v>
      </c>
      <c r="B146" t="str">
        <f>"03.99"</f>
        <v>03.99</v>
      </c>
      <c r="C146" t="str">
        <f t="shared" si="2"/>
        <v>03</v>
      </c>
    </row>
    <row r="147" spans="1:3" x14ac:dyDescent="0.25">
      <c r="A147" t="s">
        <v>170</v>
      </c>
      <c r="B147" t="str">
        <f>"03.9999"</f>
        <v>03.9999</v>
      </c>
      <c r="C147" t="str">
        <f t="shared" si="2"/>
        <v>03</v>
      </c>
    </row>
    <row r="148" spans="1:3" x14ac:dyDescent="0.25">
      <c r="A148" t="s">
        <v>171</v>
      </c>
      <c r="B148" t="str">
        <f>"04"</f>
        <v>04</v>
      </c>
      <c r="C148" t="str">
        <f>"04"</f>
        <v>04</v>
      </c>
    </row>
    <row r="149" spans="1:3" x14ac:dyDescent="0.25">
      <c r="A149" t="s">
        <v>172</v>
      </c>
      <c r="B149" t="str">
        <f>"04.02"</f>
        <v>04.02</v>
      </c>
      <c r="C149" t="str">
        <f t="shared" ref="C149:C177" si="3">"04"</f>
        <v>04</v>
      </c>
    </row>
    <row r="150" spans="1:3" x14ac:dyDescent="0.25">
      <c r="A150" t="s">
        <v>1820</v>
      </c>
      <c r="B150" t="str">
        <f>"04.0200"</f>
        <v>04.0200</v>
      </c>
      <c r="C150" t="str">
        <f t="shared" si="3"/>
        <v>04</v>
      </c>
    </row>
    <row r="151" spans="1:3" x14ac:dyDescent="0.25">
      <c r="A151" t="s">
        <v>172</v>
      </c>
      <c r="B151" t="str">
        <f>"04.0201"</f>
        <v>04.0201</v>
      </c>
      <c r="C151" t="str">
        <f t="shared" si="3"/>
        <v>04</v>
      </c>
    </row>
    <row r="152" spans="1:3" x14ac:dyDescent="0.25">
      <c r="A152" t="s">
        <v>1821</v>
      </c>
      <c r="B152" t="str">
        <f>"04.0202"</f>
        <v>04.0202</v>
      </c>
      <c r="C152" t="str">
        <f t="shared" si="3"/>
        <v>04</v>
      </c>
    </row>
    <row r="153" spans="1:3" x14ac:dyDescent="0.25">
      <c r="A153" t="s">
        <v>1822</v>
      </c>
      <c r="B153" t="str">
        <f>"04.0299"</f>
        <v>04.0299</v>
      </c>
      <c r="C153" t="str">
        <f t="shared" si="3"/>
        <v>04</v>
      </c>
    </row>
    <row r="154" spans="1:3" x14ac:dyDescent="0.25">
      <c r="A154" t="s">
        <v>1823</v>
      </c>
      <c r="B154" t="str">
        <f>"04.03"</f>
        <v>04.03</v>
      </c>
      <c r="C154" t="str">
        <f t="shared" si="3"/>
        <v>04</v>
      </c>
    </row>
    <row r="155" spans="1:3" x14ac:dyDescent="0.25">
      <c r="A155" t="s">
        <v>1823</v>
      </c>
      <c r="B155" t="str">
        <f>"04.0301"</f>
        <v>04.0301</v>
      </c>
      <c r="C155" t="str">
        <f t="shared" si="3"/>
        <v>04</v>
      </c>
    </row>
    <row r="156" spans="1:3" x14ac:dyDescent="0.25">
      <c r="A156" t="s">
        <v>173</v>
      </c>
      <c r="B156" t="str">
        <f>"04.04"</f>
        <v>04.04</v>
      </c>
      <c r="C156" t="str">
        <f t="shared" si="3"/>
        <v>04</v>
      </c>
    </row>
    <row r="157" spans="1:3" x14ac:dyDescent="0.25">
      <c r="A157" t="s">
        <v>1824</v>
      </c>
      <c r="B157" t="str">
        <f>"04.0401"</f>
        <v>04.0401</v>
      </c>
      <c r="C157" t="str">
        <f t="shared" si="3"/>
        <v>04</v>
      </c>
    </row>
    <row r="158" spans="1:3" x14ac:dyDescent="0.25">
      <c r="A158" t="s">
        <v>1825</v>
      </c>
      <c r="B158" t="str">
        <f>"04.0402"</f>
        <v>04.0402</v>
      </c>
      <c r="C158" t="str">
        <f t="shared" si="3"/>
        <v>04</v>
      </c>
    </row>
    <row r="159" spans="1:3" x14ac:dyDescent="0.25">
      <c r="A159" t="s">
        <v>1826</v>
      </c>
      <c r="B159" t="str">
        <f>"04.0403"</f>
        <v>04.0403</v>
      </c>
      <c r="C159" t="str">
        <f t="shared" si="3"/>
        <v>04</v>
      </c>
    </row>
    <row r="160" spans="1:3" x14ac:dyDescent="0.25">
      <c r="A160" t="s">
        <v>1827</v>
      </c>
      <c r="B160" t="str">
        <f>"04.0499"</f>
        <v>04.0499</v>
      </c>
      <c r="C160" t="str">
        <f t="shared" si="3"/>
        <v>04</v>
      </c>
    </row>
    <row r="161" spans="1:3" x14ac:dyDescent="0.25">
      <c r="A161" t="s">
        <v>174</v>
      </c>
      <c r="B161" t="str">
        <f>"04.05"</f>
        <v>04.05</v>
      </c>
      <c r="C161" t="str">
        <f t="shared" si="3"/>
        <v>04</v>
      </c>
    </row>
    <row r="162" spans="1:3" x14ac:dyDescent="0.25">
      <c r="A162" t="s">
        <v>174</v>
      </c>
      <c r="B162" t="str">
        <f>"04.0501"</f>
        <v>04.0501</v>
      </c>
      <c r="C162" t="str">
        <f t="shared" si="3"/>
        <v>04</v>
      </c>
    </row>
    <row r="163" spans="1:3" x14ac:dyDescent="0.25">
      <c r="A163" t="s">
        <v>175</v>
      </c>
      <c r="B163" t="str">
        <f>"04.06"</f>
        <v>04.06</v>
      </c>
      <c r="C163" t="str">
        <f t="shared" si="3"/>
        <v>04</v>
      </c>
    </row>
    <row r="164" spans="1:3" x14ac:dyDescent="0.25">
      <c r="A164" t="s">
        <v>175</v>
      </c>
      <c r="B164" t="str">
        <f>"04.0601"</f>
        <v>04.0601</v>
      </c>
      <c r="C164" t="str">
        <f t="shared" si="3"/>
        <v>04</v>
      </c>
    </row>
    <row r="165" spans="1:3" x14ac:dyDescent="0.25">
      <c r="A165" t="s">
        <v>1828</v>
      </c>
      <c r="B165" t="str">
        <f>"04.08"</f>
        <v>04.08</v>
      </c>
      <c r="C165" t="str">
        <f t="shared" si="3"/>
        <v>04</v>
      </c>
    </row>
    <row r="166" spans="1:3" x14ac:dyDescent="0.25">
      <c r="A166" t="s">
        <v>1829</v>
      </c>
      <c r="B166" t="str">
        <f>"04.0801"</f>
        <v>04.0801</v>
      </c>
      <c r="C166" t="str">
        <f t="shared" si="3"/>
        <v>04</v>
      </c>
    </row>
    <row r="167" spans="1:3" x14ac:dyDescent="0.25">
      <c r="A167" t="s">
        <v>1830</v>
      </c>
      <c r="B167" t="str">
        <f>"04.0802"</f>
        <v>04.0802</v>
      </c>
      <c r="C167" t="str">
        <f t="shared" si="3"/>
        <v>04</v>
      </c>
    </row>
    <row r="168" spans="1:3" x14ac:dyDescent="0.25">
      <c r="A168" t="s">
        <v>1831</v>
      </c>
      <c r="B168" t="str">
        <f>"04.0803"</f>
        <v>04.0803</v>
      </c>
      <c r="C168" t="str">
        <f t="shared" si="3"/>
        <v>04</v>
      </c>
    </row>
    <row r="169" spans="1:3" x14ac:dyDescent="0.25">
      <c r="A169" t="s">
        <v>1832</v>
      </c>
      <c r="B169" t="str">
        <f>"04.0899"</f>
        <v>04.0899</v>
      </c>
      <c r="C169" t="str">
        <f t="shared" si="3"/>
        <v>04</v>
      </c>
    </row>
    <row r="170" spans="1:3" x14ac:dyDescent="0.25">
      <c r="A170" t="s">
        <v>176</v>
      </c>
      <c r="B170" t="str">
        <f>"04.09"</f>
        <v>04.09</v>
      </c>
      <c r="C170" t="str">
        <f t="shared" si="3"/>
        <v>04</v>
      </c>
    </row>
    <row r="171" spans="1:3" x14ac:dyDescent="0.25">
      <c r="A171" t="s">
        <v>177</v>
      </c>
      <c r="B171" t="str">
        <f>"04.0901"</f>
        <v>04.0901</v>
      </c>
      <c r="C171" t="str">
        <f t="shared" si="3"/>
        <v>04</v>
      </c>
    </row>
    <row r="172" spans="1:3" x14ac:dyDescent="0.25">
      <c r="A172" t="s">
        <v>178</v>
      </c>
      <c r="B172" t="str">
        <f>"04.0902"</f>
        <v>04.0902</v>
      </c>
      <c r="C172" t="str">
        <f t="shared" si="3"/>
        <v>04</v>
      </c>
    </row>
    <row r="173" spans="1:3" x14ac:dyDescent="0.25">
      <c r="A173" t="s">
        <v>179</v>
      </c>
      <c r="B173" t="str">
        <f>"04.0999"</f>
        <v>04.0999</v>
      </c>
      <c r="C173" t="str">
        <f t="shared" si="3"/>
        <v>04</v>
      </c>
    </row>
    <row r="174" spans="1:3" x14ac:dyDescent="0.25">
      <c r="A174" t="s">
        <v>180</v>
      </c>
      <c r="B174" t="str">
        <f>"04.10"</f>
        <v>04.10</v>
      </c>
      <c r="C174" t="str">
        <f t="shared" si="3"/>
        <v>04</v>
      </c>
    </row>
    <row r="175" spans="1:3" x14ac:dyDescent="0.25">
      <c r="A175" t="s">
        <v>180</v>
      </c>
      <c r="B175" t="str">
        <f>"04.1001"</f>
        <v>04.1001</v>
      </c>
      <c r="C175" t="str">
        <f t="shared" si="3"/>
        <v>04</v>
      </c>
    </row>
    <row r="176" spans="1:3" x14ac:dyDescent="0.25">
      <c r="A176" t="s">
        <v>181</v>
      </c>
      <c r="B176" t="str">
        <f>"04.99"</f>
        <v>04.99</v>
      </c>
      <c r="C176" t="str">
        <f t="shared" si="3"/>
        <v>04</v>
      </c>
    </row>
    <row r="177" spans="1:3" x14ac:dyDescent="0.25">
      <c r="A177" t="s">
        <v>181</v>
      </c>
      <c r="B177" t="str">
        <f>"04.9999"</f>
        <v>04.9999</v>
      </c>
      <c r="C177" t="str">
        <f t="shared" si="3"/>
        <v>04</v>
      </c>
    </row>
    <row r="178" spans="1:3" x14ac:dyDescent="0.25">
      <c r="A178" t="s">
        <v>182</v>
      </c>
      <c r="B178" t="str">
        <f>"05"</f>
        <v>05</v>
      </c>
      <c r="C178" t="str">
        <f>"05"</f>
        <v>05</v>
      </c>
    </row>
    <row r="179" spans="1:3" x14ac:dyDescent="0.25">
      <c r="A179" t="s">
        <v>183</v>
      </c>
      <c r="B179" t="str">
        <f>"05.01"</f>
        <v>05.01</v>
      </c>
      <c r="C179" t="str">
        <f t="shared" ref="C179:C231" si="4">"05"</f>
        <v>05</v>
      </c>
    </row>
    <row r="180" spans="1:3" x14ac:dyDescent="0.25">
      <c r="A180" t="s">
        <v>184</v>
      </c>
      <c r="B180" t="str">
        <f>"05.0101"</f>
        <v>05.0101</v>
      </c>
      <c r="C180" t="str">
        <f t="shared" si="4"/>
        <v>05</v>
      </c>
    </row>
    <row r="181" spans="1:3" x14ac:dyDescent="0.25">
      <c r="A181" t="s">
        <v>185</v>
      </c>
      <c r="B181" t="str">
        <f>"05.0102"</f>
        <v>05.0102</v>
      </c>
      <c r="C181" t="str">
        <f t="shared" si="4"/>
        <v>05</v>
      </c>
    </row>
    <row r="182" spans="1:3" x14ac:dyDescent="0.25">
      <c r="A182" t="s">
        <v>186</v>
      </c>
      <c r="B182" t="str">
        <f>"05.0103"</f>
        <v>05.0103</v>
      </c>
      <c r="C182" t="str">
        <f t="shared" si="4"/>
        <v>05</v>
      </c>
    </row>
    <row r="183" spans="1:3" x14ac:dyDescent="0.25">
      <c r="A183" t="s">
        <v>187</v>
      </c>
      <c r="B183" t="str">
        <f>"05.0104"</f>
        <v>05.0104</v>
      </c>
      <c r="C183" t="str">
        <f t="shared" si="4"/>
        <v>05</v>
      </c>
    </row>
    <row r="184" spans="1:3" x14ac:dyDescent="0.25">
      <c r="A184" t="s">
        <v>188</v>
      </c>
      <c r="B184" t="str">
        <f>"05.0105"</f>
        <v>05.0105</v>
      </c>
      <c r="C184" t="str">
        <f t="shared" si="4"/>
        <v>05</v>
      </c>
    </row>
    <row r="185" spans="1:3" x14ac:dyDescent="0.25">
      <c r="A185" t="s">
        <v>189</v>
      </c>
      <c r="B185" t="str">
        <f>"05.0106"</f>
        <v>05.0106</v>
      </c>
      <c r="C185" t="str">
        <f t="shared" si="4"/>
        <v>05</v>
      </c>
    </row>
    <row r="186" spans="1:3" x14ac:dyDescent="0.25">
      <c r="A186" t="s">
        <v>190</v>
      </c>
      <c r="B186" t="str">
        <f>"05.0107"</f>
        <v>05.0107</v>
      </c>
      <c r="C186" t="str">
        <f t="shared" si="4"/>
        <v>05</v>
      </c>
    </row>
    <row r="187" spans="1:3" x14ac:dyDescent="0.25">
      <c r="A187" t="s">
        <v>191</v>
      </c>
      <c r="B187" t="str">
        <f>"05.0108"</f>
        <v>05.0108</v>
      </c>
      <c r="C187" t="str">
        <f t="shared" si="4"/>
        <v>05</v>
      </c>
    </row>
    <row r="188" spans="1:3" x14ac:dyDescent="0.25">
      <c r="A188" t="s">
        <v>192</v>
      </c>
      <c r="B188" t="str">
        <f>"05.0109"</f>
        <v>05.0109</v>
      </c>
      <c r="C188" t="str">
        <f t="shared" si="4"/>
        <v>05</v>
      </c>
    </row>
    <row r="189" spans="1:3" x14ac:dyDescent="0.25">
      <c r="A189" t="s">
        <v>193</v>
      </c>
      <c r="B189" t="str">
        <f>"05.0110"</f>
        <v>05.0110</v>
      </c>
      <c r="C189" t="str">
        <f t="shared" si="4"/>
        <v>05</v>
      </c>
    </row>
    <row r="190" spans="1:3" x14ac:dyDescent="0.25">
      <c r="A190" t="s">
        <v>194</v>
      </c>
      <c r="B190" t="str">
        <f>"05.0111"</f>
        <v>05.0111</v>
      </c>
      <c r="C190" t="str">
        <f t="shared" si="4"/>
        <v>05</v>
      </c>
    </row>
    <row r="191" spans="1:3" x14ac:dyDescent="0.25">
      <c r="A191" t="s">
        <v>195</v>
      </c>
      <c r="B191" t="str">
        <f>"05.0112"</f>
        <v>05.0112</v>
      </c>
      <c r="C191" t="str">
        <f t="shared" si="4"/>
        <v>05</v>
      </c>
    </row>
    <row r="192" spans="1:3" x14ac:dyDescent="0.25">
      <c r="A192" t="s">
        <v>196</v>
      </c>
      <c r="B192" t="str">
        <f>"05.0113"</f>
        <v>05.0113</v>
      </c>
      <c r="C192" t="str">
        <f t="shared" si="4"/>
        <v>05</v>
      </c>
    </row>
    <row r="193" spans="1:3" x14ac:dyDescent="0.25">
      <c r="A193" t="s">
        <v>197</v>
      </c>
      <c r="B193" t="str">
        <f>"05.0114"</f>
        <v>05.0114</v>
      </c>
      <c r="C193" t="str">
        <f t="shared" si="4"/>
        <v>05</v>
      </c>
    </row>
    <row r="194" spans="1:3" x14ac:dyDescent="0.25">
      <c r="A194" t="s">
        <v>198</v>
      </c>
      <c r="B194" t="str">
        <f>"05.0115"</f>
        <v>05.0115</v>
      </c>
      <c r="C194" t="str">
        <f t="shared" si="4"/>
        <v>05</v>
      </c>
    </row>
    <row r="195" spans="1:3" x14ac:dyDescent="0.25">
      <c r="A195" t="s">
        <v>199</v>
      </c>
      <c r="B195" t="str">
        <f>"05.0116"</f>
        <v>05.0116</v>
      </c>
      <c r="C195" t="str">
        <f t="shared" si="4"/>
        <v>05</v>
      </c>
    </row>
    <row r="196" spans="1:3" x14ac:dyDescent="0.25">
      <c r="A196" t="s">
        <v>200</v>
      </c>
      <c r="B196" t="str">
        <f>"05.0117"</f>
        <v>05.0117</v>
      </c>
      <c r="C196" t="str">
        <f t="shared" si="4"/>
        <v>05</v>
      </c>
    </row>
    <row r="197" spans="1:3" x14ac:dyDescent="0.25">
      <c r="A197" t="s">
        <v>201</v>
      </c>
      <c r="B197" t="str">
        <f>"05.0118"</f>
        <v>05.0118</v>
      </c>
      <c r="C197" t="str">
        <f t="shared" si="4"/>
        <v>05</v>
      </c>
    </row>
    <row r="198" spans="1:3" x14ac:dyDescent="0.25">
      <c r="A198" t="s">
        <v>202</v>
      </c>
      <c r="B198" t="str">
        <f>"05.0119"</f>
        <v>05.0119</v>
      </c>
      <c r="C198" t="str">
        <f t="shared" si="4"/>
        <v>05</v>
      </c>
    </row>
    <row r="199" spans="1:3" x14ac:dyDescent="0.25">
      <c r="A199" t="s">
        <v>203</v>
      </c>
      <c r="B199" t="str">
        <f>"05.0120"</f>
        <v>05.0120</v>
      </c>
      <c r="C199" t="str">
        <f t="shared" si="4"/>
        <v>05</v>
      </c>
    </row>
    <row r="200" spans="1:3" x14ac:dyDescent="0.25">
      <c r="A200" t="s">
        <v>204</v>
      </c>
      <c r="B200" t="str">
        <f>"05.0121"</f>
        <v>05.0121</v>
      </c>
      <c r="C200" t="str">
        <f t="shared" si="4"/>
        <v>05</v>
      </c>
    </row>
    <row r="201" spans="1:3" x14ac:dyDescent="0.25">
      <c r="A201" t="s">
        <v>1833</v>
      </c>
      <c r="B201" t="str">
        <f>"05.0122"</f>
        <v>05.0122</v>
      </c>
      <c r="C201" t="str">
        <f t="shared" si="4"/>
        <v>05</v>
      </c>
    </row>
    <row r="202" spans="1:3" x14ac:dyDescent="0.25">
      <c r="A202" t="s">
        <v>205</v>
      </c>
      <c r="B202" t="str">
        <f>"05.0123"</f>
        <v>05.0123</v>
      </c>
      <c r="C202" t="str">
        <f t="shared" si="4"/>
        <v>05</v>
      </c>
    </row>
    <row r="203" spans="1:3" x14ac:dyDescent="0.25">
      <c r="A203" t="s">
        <v>206</v>
      </c>
      <c r="B203" t="str">
        <f>"05.0124"</f>
        <v>05.0124</v>
      </c>
      <c r="C203" t="str">
        <f t="shared" si="4"/>
        <v>05</v>
      </c>
    </row>
    <row r="204" spans="1:3" x14ac:dyDescent="0.25">
      <c r="A204" t="s">
        <v>207</v>
      </c>
      <c r="B204" t="str">
        <f>"05.0125"</f>
        <v>05.0125</v>
      </c>
      <c r="C204" t="str">
        <f t="shared" si="4"/>
        <v>05</v>
      </c>
    </row>
    <row r="205" spans="1:3" x14ac:dyDescent="0.25">
      <c r="A205" t="s">
        <v>208</v>
      </c>
      <c r="B205" t="str">
        <f>"05.0126"</f>
        <v>05.0126</v>
      </c>
      <c r="C205" t="str">
        <f t="shared" si="4"/>
        <v>05</v>
      </c>
    </row>
    <row r="206" spans="1:3" x14ac:dyDescent="0.25">
      <c r="A206" t="s">
        <v>209</v>
      </c>
      <c r="B206" t="str">
        <f>"05.0127"</f>
        <v>05.0127</v>
      </c>
      <c r="C206" t="str">
        <f t="shared" si="4"/>
        <v>05</v>
      </c>
    </row>
    <row r="207" spans="1:3" x14ac:dyDescent="0.25">
      <c r="A207" t="s">
        <v>210</v>
      </c>
      <c r="B207" t="str">
        <f>"05.0128"</f>
        <v>05.0128</v>
      </c>
      <c r="C207" t="str">
        <f t="shared" si="4"/>
        <v>05</v>
      </c>
    </row>
    <row r="208" spans="1:3" x14ac:dyDescent="0.25">
      <c r="A208" t="s">
        <v>211</v>
      </c>
      <c r="B208" t="str">
        <f>"05.0129"</f>
        <v>05.0129</v>
      </c>
      <c r="C208" t="str">
        <f t="shared" si="4"/>
        <v>05</v>
      </c>
    </row>
    <row r="209" spans="1:3" x14ac:dyDescent="0.25">
      <c r="A209" t="s">
        <v>212</v>
      </c>
      <c r="B209" t="str">
        <f>"05.0130"</f>
        <v>05.0130</v>
      </c>
      <c r="C209" t="str">
        <f t="shared" si="4"/>
        <v>05</v>
      </c>
    </row>
    <row r="210" spans="1:3" x14ac:dyDescent="0.25">
      <c r="A210" t="s">
        <v>213</v>
      </c>
      <c r="B210" t="str">
        <f>"05.0131"</f>
        <v>05.0131</v>
      </c>
      <c r="C210" t="str">
        <f t="shared" si="4"/>
        <v>05</v>
      </c>
    </row>
    <row r="211" spans="1:3" x14ac:dyDescent="0.25">
      <c r="A211" t="s">
        <v>214</v>
      </c>
      <c r="B211" t="str">
        <f>"05.0132"</f>
        <v>05.0132</v>
      </c>
      <c r="C211" t="str">
        <f t="shared" si="4"/>
        <v>05</v>
      </c>
    </row>
    <row r="212" spans="1:3" x14ac:dyDescent="0.25">
      <c r="A212" t="s">
        <v>215</v>
      </c>
      <c r="B212" t="str">
        <f>"05.0133"</f>
        <v>05.0133</v>
      </c>
      <c r="C212" t="str">
        <f t="shared" si="4"/>
        <v>05</v>
      </c>
    </row>
    <row r="213" spans="1:3" x14ac:dyDescent="0.25">
      <c r="A213" t="s">
        <v>216</v>
      </c>
      <c r="B213" t="str">
        <f>"05.0134"</f>
        <v>05.0134</v>
      </c>
      <c r="C213" t="str">
        <f t="shared" si="4"/>
        <v>05</v>
      </c>
    </row>
    <row r="214" spans="1:3" x14ac:dyDescent="0.25">
      <c r="A214" t="s">
        <v>1834</v>
      </c>
      <c r="B214" t="str">
        <f>"05.0135"</f>
        <v>05.0135</v>
      </c>
      <c r="C214" t="str">
        <f t="shared" si="4"/>
        <v>05</v>
      </c>
    </row>
    <row r="215" spans="1:3" x14ac:dyDescent="0.25">
      <c r="A215" t="s">
        <v>1835</v>
      </c>
      <c r="B215" t="str">
        <f>"05.0136"</f>
        <v>05.0136</v>
      </c>
      <c r="C215" t="str">
        <f t="shared" si="4"/>
        <v>05</v>
      </c>
    </row>
    <row r="216" spans="1:3" x14ac:dyDescent="0.25">
      <c r="A216" t="s">
        <v>217</v>
      </c>
      <c r="B216" t="str">
        <f>"05.0199"</f>
        <v>05.0199</v>
      </c>
      <c r="C216" t="str">
        <f t="shared" si="4"/>
        <v>05</v>
      </c>
    </row>
    <row r="217" spans="1:3" x14ac:dyDescent="0.25">
      <c r="A217" t="s">
        <v>218</v>
      </c>
      <c r="B217" t="str">
        <f>"05.02"</f>
        <v>05.02</v>
      </c>
      <c r="C217" t="str">
        <f t="shared" si="4"/>
        <v>05</v>
      </c>
    </row>
    <row r="218" spans="1:3" x14ac:dyDescent="0.25">
      <c r="A218" t="s">
        <v>219</v>
      </c>
      <c r="B218" t="str">
        <f>"05.0200"</f>
        <v>05.0200</v>
      </c>
      <c r="C218" t="str">
        <f t="shared" si="4"/>
        <v>05</v>
      </c>
    </row>
    <row r="219" spans="1:3" x14ac:dyDescent="0.25">
      <c r="A219" t="s">
        <v>220</v>
      </c>
      <c r="B219" t="str">
        <f>"05.0201"</f>
        <v>05.0201</v>
      </c>
      <c r="C219" t="str">
        <f t="shared" si="4"/>
        <v>05</v>
      </c>
    </row>
    <row r="220" spans="1:3" x14ac:dyDescent="0.25">
      <c r="A220" t="s">
        <v>221</v>
      </c>
      <c r="B220" t="str">
        <f>"05.0202"</f>
        <v>05.0202</v>
      </c>
      <c r="C220" t="str">
        <f t="shared" si="4"/>
        <v>05</v>
      </c>
    </row>
    <row r="221" spans="1:3" x14ac:dyDescent="0.25">
      <c r="A221" t="s">
        <v>222</v>
      </c>
      <c r="B221" t="str">
        <f>"05.0203"</f>
        <v>05.0203</v>
      </c>
      <c r="C221" t="str">
        <f t="shared" si="4"/>
        <v>05</v>
      </c>
    </row>
    <row r="222" spans="1:3" x14ac:dyDescent="0.25">
      <c r="A222" t="s">
        <v>223</v>
      </c>
      <c r="B222" t="str">
        <f>"05.0206"</f>
        <v>05.0206</v>
      </c>
      <c r="C222" t="str">
        <f t="shared" si="4"/>
        <v>05</v>
      </c>
    </row>
    <row r="223" spans="1:3" x14ac:dyDescent="0.25">
      <c r="A223" t="s">
        <v>224</v>
      </c>
      <c r="B223" t="str">
        <f>"05.0207"</f>
        <v>05.0207</v>
      </c>
      <c r="C223" t="str">
        <f t="shared" si="4"/>
        <v>05</v>
      </c>
    </row>
    <row r="224" spans="1:3" x14ac:dyDescent="0.25">
      <c r="A224" t="s">
        <v>225</v>
      </c>
      <c r="B224" t="str">
        <f>"05.0208"</f>
        <v>05.0208</v>
      </c>
      <c r="C224" t="str">
        <f t="shared" si="4"/>
        <v>05</v>
      </c>
    </row>
    <row r="225" spans="1:3" x14ac:dyDescent="0.25">
      <c r="A225" t="s">
        <v>226</v>
      </c>
      <c r="B225" t="str">
        <f>"05.0209"</f>
        <v>05.0209</v>
      </c>
      <c r="C225" t="str">
        <f t="shared" si="4"/>
        <v>05</v>
      </c>
    </row>
    <row r="226" spans="1:3" x14ac:dyDescent="0.25">
      <c r="A226" t="s">
        <v>227</v>
      </c>
      <c r="B226" t="str">
        <f>"05.0210"</f>
        <v>05.0210</v>
      </c>
      <c r="C226" t="str">
        <f t="shared" si="4"/>
        <v>05</v>
      </c>
    </row>
    <row r="227" spans="1:3" x14ac:dyDescent="0.25">
      <c r="A227" t="s">
        <v>228</v>
      </c>
      <c r="B227" t="str">
        <f>"05.0211"</f>
        <v>05.0211</v>
      </c>
      <c r="C227" t="str">
        <f t="shared" si="4"/>
        <v>05</v>
      </c>
    </row>
    <row r="228" spans="1:3" x14ac:dyDescent="0.25">
      <c r="A228" t="s">
        <v>1836</v>
      </c>
      <c r="B228" t="str">
        <f>"05.0212"</f>
        <v>05.0212</v>
      </c>
      <c r="C228" t="str">
        <f t="shared" si="4"/>
        <v>05</v>
      </c>
    </row>
    <row r="229" spans="1:3" x14ac:dyDescent="0.25">
      <c r="A229" t="s">
        <v>229</v>
      </c>
      <c r="B229" t="str">
        <f>"05.0299"</f>
        <v>05.0299</v>
      </c>
      <c r="C229" t="str">
        <f t="shared" si="4"/>
        <v>05</v>
      </c>
    </row>
    <row r="230" spans="1:3" x14ac:dyDescent="0.25">
      <c r="A230" t="s">
        <v>1837</v>
      </c>
      <c r="B230" t="str">
        <f>"05.99"</f>
        <v>05.99</v>
      </c>
      <c r="C230" t="str">
        <f t="shared" si="4"/>
        <v>05</v>
      </c>
    </row>
    <row r="231" spans="1:3" x14ac:dyDescent="0.25">
      <c r="A231" t="s">
        <v>1837</v>
      </c>
      <c r="B231" t="str">
        <f>"05.9999"</f>
        <v>05.9999</v>
      </c>
      <c r="C231" t="str">
        <f t="shared" si="4"/>
        <v>05</v>
      </c>
    </row>
    <row r="232" spans="1:3" x14ac:dyDescent="0.25">
      <c r="A232" t="s">
        <v>230</v>
      </c>
      <c r="B232" t="str">
        <f>"09"</f>
        <v>09</v>
      </c>
      <c r="C232" t="str">
        <f>"09"</f>
        <v>09</v>
      </c>
    </row>
    <row r="233" spans="1:3" x14ac:dyDescent="0.25">
      <c r="A233" t="s">
        <v>231</v>
      </c>
      <c r="B233" t="str">
        <f>"09.01"</f>
        <v>09.01</v>
      </c>
      <c r="C233" t="str">
        <f t="shared" ref="C233:C265" si="5">"09"</f>
        <v>09</v>
      </c>
    </row>
    <row r="234" spans="1:3" x14ac:dyDescent="0.25">
      <c r="A234" t="s">
        <v>232</v>
      </c>
      <c r="B234" t="str">
        <f>"09.0100"</f>
        <v>09.0100</v>
      </c>
      <c r="C234" t="str">
        <f t="shared" si="5"/>
        <v>09</v>
      </c>
    </row>
    <row r="235" spans="1:3" x14ac:dyDescent="0.25">
      <c r="A235" t="s">
        <v>233</v>
      </c>
      <c r="B235" t="str">
        <f>"09.0101"</f>
        <v>09.0101</v>
      </c>
      <c r="C235" t="str">
        <f t="shared" si="5"/>
        <v>09</v>
      </c>
    </row>
    <row r="236" spans="1:3" x14ac:dyDescent="0.25">
      <c r="A236" t="s">
        <v>234</v>
      </c>
      <c r="B236" t="str">
        <f>"09.0102"</f>
        <v>09.0102</v>
      </c>
      <c r="C236" t="str">
        <f t="shared" si="5"/>
        <v>09</v>
      </c>
    </row>
    <row r="237" spans="1:3" x14ac:dyDescent="0.25">
      <c r="A237" t="s">
        <v>235</v>
      </c>
      <c r="B237" t="str">
        <f>"09.0199"</f>
        <v>09.0199</v>
      </c>
      <c r="C237" t="str">
        <f t="shared" si="5"/>
        <v>09</v>
      </c>
    </row>
    <row r="238" spans="1:3" x14ac:dyDescent="0.25">
      <c r="A238" t="s">
        <v>236</v>
      </c>
      <c r="B238" t="str">
        <f>"09.04"</f>
        <v>09.04</v>
      </c>
      <c r="C238" t="str">
        <f t="shared" si="5"/>
        <v>09</v>
      </c>
    </row>
    <row r="239" spans="1:3" x14ac:dyDescent="0.25">
      <c r="A239" t="s">
        <v>236</v>
      </c>
      <c r="B239" t="str">
        <f>"09.0401"</f>
        <v>09.0401</v>
      </c>
      <c r="C239" t="str">
        <f t="shared" si="5"/>
        <v>09</v>
      </c>
    </row>
    <row r="240" spans="1:3" x14ac:dyDescent="0.25">
      <c r="A240" t="s">
        <v>237</v>
      </c>
      <c r="B240" t="str">
        <f>"09.0402"</f>
        <v>09.0402</v>
      </c>
      <c r="C240" t="str">
        <f t="shared" si="5"/>
        <v>09</v>
      </c>
    </row>
    <row r="241" spans="1:3" x14ac:dyDescent="0.25">
      <c r="A241" t="s">
        <v>238</v>
      </c>
      <c r="B241" t="str">
        <f>"09.0404"</f>
        <v>09.0404</v>
      </c>
      <c r="C241" t="str">
        <f t="shared" si="5"/>
        <v>09</v>
      </c>
    </row>
    <row r="242" spans="1:3" x14ac:dyDescent="0.25">
      <c r="A242" t="s">
        <v>1838</v>
      </c>
      <c r="B242" t="str">
        <f>"09.0405"</f>
        <v>09.0405</v>
      </c>
      <c r="C242" t="str">
        <f t="shared" si="5"/>
        <v>09</v>
      </c>
    </row>
    <row r="243" spans="1:3" x14ac:dyDescent="0.25">
      <c r="A243" t="s">
        <v>1839</v>
      </c>
      <c r="B243" t="str">
        <f>"09.0406"</f>
        <v>09.0406</v>
      </c>
      <c r="C243" t="str">
        <f t="shared" si="5"/>
        <v>09</v>
      </c>
    </row>
    <row r="244" spans="1:3" x14ac:dyDescent="0.25">
      <c r="A244" t="s">
        <v>1840</v>
      </c>
      <c r="B244" t="str">
        <f>"09.0407"</f>
        <v>09.0407</v>
      </c>
      <c r="C244" t="str">
        <f t="shared" si="5"/>
        <v>09</v>
      </c>
    </row>
    <row r="245" spans="1:3" x14ac:dyDescent="0.25">
      <c r="A245" t="s">
        <v>239</v>
      </c>
      <c r="B245" t="str">
        <f>"09.0499"</f>
        <v>09.0499</v>
      </c>
      <c r="C245" t="str">
        <f t="shared" si="5"/>
        <v>09</v>
      </c>
    </row>
    <row r="246" spans="1:3" x14ac:dyDescent="0.25">
      <c r="A246" t="s">
        <v>240</v>
      </c>
      <c r="B246" t="str">
        <f>"09.07"</f>
        <v>09.07</v>
      </c>
      <c r="C246" t="str">
        <f t="shared" si="5"/>
        <v>09</v>
      </c>
    </row>
    <row r="247" spans="1:3" x14ac:dyDescent="0.25">
      <c r="A247" t="s">
        <v>241</v>
      </c>
      <c r="B247" t="str">
        <f>"09.0701"</f>
        <v>09.0701</v>
      </c>
      <c r="C247" t="str">
        <f t="shared" si="5"/>
        <v>09</v>
      </c>
    </row>
    <row r="248" spans="1:3" x14ac:dyDescent="0.25">
      <c r="A248" t="s">
        <v>242</v>
      </c>
      <c r="B248" t="str">
        <f>"09.0702"</f>
        <v>09.0702</v>
      </c>
      <c r="C248" t="str">
        <f t="shared" si="5"/>
        <v>09</v>
      </c>
    </row>
    <row r="249" spans="1:3" x14ac:dyDescent="0.25">
      <c r="A249" t="s">
        <v>243</v>
      </c>
      <c r="B249" t="str">
        <f>"09.0799"</f>
        <v>09.0799</v>
      </c>
      <c r="C249" t="str">
        <f t="shared" si="5"/>
        <v>09</v>
      </c>
    </row>
    <row r="250" spans="1:3" x14ac:dyDescent="0.25">
      <c r="A250" t="s">
        <v>244</v>
      </c>
      <c r="B250" t="str">
        <f>"09.09"</f>
        <v>09.09</v>
      </c>
      <c r="C250" t="str">
        <f t="shared" si="5"/>
        <v>09</v>
      </c>
    </row>
    <row r="251" spans="1:3" x14ac:dyDescent="0.25">
      <c r="A251" t="s">
        <v>244</v>
      </c>
      <c r="B251" t="str">
        <f>"09.0900"</f>
        <v>09.0900</v>
      </c>
      <c r="C251" t="str">
        <f t="shared" si="5"/>
        <v>09</v>
      </c>
    </row>
    <row r="252" spans="1:3" x14ac:dyDescent="0.25">
      <c r="A252" t="s">
        <v>245</v>
      </c>
      <c r="B252" t="str">
        <f>"09.0901"</f>
        <v>09.0901</v>
      </c>
      <c r="C252" t="str">
        <f t="shared" si="5"/>
        <v>09</v>
      </c>
    </row>
    <row r="253" spans="1:3" x14ac:dyDescent="0.25">
      <c r="A253" t="s">
        <v>246</v>
      </c>
      <c r="B253" t="str">
        <f>"09.0902"</f>
        <v>09.0902</v>
      </c>
      <c r="C253" t="str">
        <f t="shared" si="5"/>
        <v>09</v>
      </c>
    </row>
    <row r="254" spans="1:3" x14ac:dyDescent="0.25">
      <c r="A254" t="s">
        <v>247</v>
      </c>
      <c r="B254" t="str">
        <f>"09.0903"</f>
        <v>09.0903</v>
      </c>
      <c r="C254" t="str">
        <f t="shared" si="5"/>
        <v>09</v>
      </c>
    </row>
    <row r="255" spans="1:3" x14ac:dyDescent="0.25">
      <c r="A255" t="s">
        <v>248</v>
      </c>
      <c r="B255" t="str">
        <f>"09.0904"</f>
        <v>09.0904</v>
      </c>
      <c r="C255" t="str">
        <f t="shared" si="5"/>
        <v>09</v>
      </c>
    </row>
    <row r="256" spans="1:3" x14ac:dyDescent="0.25">
      <c r="A256" t="s">
        <v>249</v>
      </c>
      <c r="B256" t="str">
        <f>"09.0905"</f>
        <v>09.0905</v>
      </c>
      <c r="C256" t="str">
        <f t="shared" si="5"/>
        <v>09</v>
      </c>
    </row>
    <row r="257" spans="1:3" x14ac:dyDescent="0.25">
      <c r="A257" t="s">
        <v>250</v>
      </c>
      <c r="B257" t="str">
        <f>"09.0906"</f>
        <v>09.0906</v>
      </c>
      <c r="C257" t="str">
        <f t="shared" si="5"/>
        <v>09</v>
      </c>
    </row>
    <row r="258" spans="1:3" x14ac:dyDescent="0.25">
      <c r="A258" t="s">
        <v>251</v>
      </c>
      <c r="B258" t="str">
        <f>"09.0907"</f>
        <v>09.0907</v>
      </c>
      <c r="C258" t="str">
        <f t="shared" si="5"/>
        <v>09</v>
      </c>
    </row>
    <row r="259" spans="1:3" x14ac:dyDescent="0.25">
      <c r="A259" t="s">
        <v>252</v>
      </c>
      <c r="B259" t="str">
        <f>"09.0908"</f>
        <v>09.0908</v>
      </c>
      <c r="C259" t="str">
        <f t="shared" si="5"/>
        <v>09</v>
      </c>
    </row>
    <row r="260" spans="1:3" x14ac:dyDescent="0.25">
      <c r="A260" t="s">
        <v>1841</v>
      </c>
      <c r="B260" t="str">
        <f>"09.0909"</f>
        <v>09.0909</v>
      </c>
      <c r="C260" t="str">
        <f t="shared" si="5"/>
        <v>09</v>
      </c>
    </row>
    <row r="261" spans="1:3" x14ac:dyDescent="0.25">
      <c r="A261" t="s">
        <v>1842</v>
      </c>
      <c r="B261" t="str">
        <f>"09.0999"</f>
        <v>09.0999</v>
      </c>
      <c r="C261" t="str">
        <f t="shared" si="5"/>
        <v>09</v>
      </c>
    </row>
    <row r="262" spans="1:3" x14ac:dyDescent="0.25">
      <c r="A262" t="s">
        <v>253</v>
      </c>
      <c r="B262" t="str">
        <f>"09.10"</f>
        <v>09.10</v>
      </c>
      <c r="C262" t="str">
        <f t="shared" si="5"/>
        <v>09</v>
      </c>
    </row>
    <row r="263" spans="1:3" x14ac:dyDescent="0.25">
      <c r="A263" t="s">
        <v>253</v>
      </c>
      <c r="B263" t="str">
        <f>"09.1001"</f>
        <v>09.1001</v>
      </c>
      <c r="C263" t="str">
        <f t="shared" si="5"/>
        <v>09</v>
      </c>
    </row>
    <row r="264" spans="1:3" x14ac:dyDescent="0.25">
      <c r="A264" t="s">
        <v>254</v>
      </c>
      <c r="B264" t="str">
        <f>"09.99"</f>
        <v>09.99</v>
      </c>
      <c r="C264" t="str">
        <f t="shared" si="5"/>
        <v>09</v>
      </c>
    </row>
    <row r="265" spans="1:3" x14ac:dyDescent="0.25">
      <c r="A265" t="s">
        <v>254</v>
      </c>
      <c r="B265" t="str">
        <f>"09.9999"</f>
        <v>09.9999</v>
      </c>
      <c r="C265" t="str">
        <f t="shared" si="5"/>
        <v>09</v>
      </c>
    </row>
    <row r="266" spans="1:3" x14ac:dyDescent="0.25">
      <c r="A266" t="s">
        <v>255</v>
      </c>
      <c r="B266" t="str">
        <f>"10"</f>
        <v>10</v>
      </c>
      <c r="C266" t="str">
        <f>"10"</f>
        <v>10</v>
      </c>
    </row>
    <row r="267" spans="1:3" x14ac:dyDescent="0.25">
      <c r="A267" t="s">
        <v>1843</v>
      </c>
      <c r="B267" t="str">
        <f>"10.01"</f>
        <v>10.01</v>
      </c>
      <c r="C267" t="str">
        <f t="shared" ref="C267:C286" si="6">"10"</f>
        <v>10</v>
      </c>
    </row>
    <row r="268" spans="1:3" x14ac:dyDescent="0.25">
      <c r="A268" t="s">
        <v>256</v>
      </c>
      <c r="B268" t="str">
        <f>"10.0105"</f>
        <v>10.0105</v>
      </c>
      <c r="C268" t="str">
        <f t="shared" si="6"/>
        <v>10</v>
      </c>
    </row>
    <row r="269" spans="1:3" x14ac:dyDescent="0.25">
      <c r="A269" t="s">
        <v>257</v>
      </c>
      <c r="B269" t="str">
        <f>"10.02"</f>
        <v>10.02</v>
      </c>
      <c r="C269" t="str">
        <f t="shared" si="6"/>
        <v>10</v>
      </c>
    </row>
    <row r="270" spans="1:3" x14ac:dyDescent="0.25">
      <c r="A270" t="s">
        <v>1844</v>
      </c>
      <c r="B270" t="str">
        <f>"10.0201"</f>
        <v>10.0201</v>
      </c>
      <c r="C270" t="str">
        <f t="shared" si="6"/>
        <v>10</v>
      </c>
    </row>
    <row r="271" spans="1:3" x14ac:dyDescent="0.25">
      <c r="A271" t="s">
        <v>258</v>
      </c>
      <c r="B271" t="str">
        <f>"10.0202"</f>
        <v>10.0202</v>
      </c>
      <c r="C271" t="str">
        <f t="shared" si="6"/>
        <v>10</v>
      </c>
    </row>
    <row r="272" spans="1:3" x14ac:dyDescent="0.25">
      <c r="A272" t="s">
        <v>259</v>
      </c>
      <c r="B272" t="str">
        <f>"10.0203"</f>
        <v>10.0203</v>
      </c>
      <c r="C272" t="str">
        <f t="shared" si="6"/>
        <v>10</v>
      </c>
    </row>
    <row r="273" spans="1:3" x14ac:dyDescent="0.25">
      <c r="A273" t="s">
        <v>1845</v>
      </c>
      <c r="B273" t="str">
        <f>"10.0204"</f>
        <v>10.0204</v>
      </c>
      <c r="C273" t="str">
        <f t="shared" si="6"/>
        <v>10</v>
      </c>
    </row>
    <row r="274" spans="1:3" x14ac:dyDescent="0.25">
      <c r="A274" t="s">
        <v>260</v>
      </c>
      <c r="B274" t="str">
        <f>"10.0299"</f>
        <v>10.0299</v>
      </c>
      <c r="C274" t="str">
        <f t="shared" si="6"/>
        <v>10</v>
      </c>
    </row>
    <row r="275" spans="1:3" x14ac:dyDescent="0.25">
      <c r="A275" t="s">
        <v>261</v>
      </c>
      <c r="B275" t="str">
        <f>"10.03"</f>
        <v>10.03</v>
      </c>
      <c r="C275" t="str">
        <f t="shared" si="6"/>
        <v>10</v>
      </c>
    </row>
    <row r="276" spans="1:3" x14ac:dyDescent="0.25">
      <c r="A276" t="s">
        <v>262</v>
      </c>
      <c r="B276" t="str">
        <f>"10.0301"</f>
        <v>10.0301</v>
      </c>
      <c r="C276" t="str">
        <f t="shared" si="6"/>
        <v>10</v>
      </c>
    </row>
    <row r="277" spans="1:3" x14ac:dyDescent="0.25">
      <c r="A277" t="s">
        <v>263</v>
      </c>
      <c r="B277" t="str">
        <f>"10.0302"</f>
        <v>10.0302</v>
      </c>
      <c r="C277" t="str">
        <f t="shared" si="6"/>
        <v>10</v>
      </c>
    </row>
    <row r="278" spans="1:3" x14ac:dyDescent="0.25">
      <c r="A278" t="s">
        <v>264</v>
      </c>
      <c r="B278" t="str">
        <f>"10.0303"</f>
        <v>10.0303</v>
      </c>
      <c r="C278" t="str">
        <f t="shared" si="6"/>
        <v>10</v>
      </c>
    </row>
    <row r="279" spans="1:3" x14ac:dyDescent="0.25">
      <c r="A279" t="s">
        <v>1846</v>
      </c>
      <c r="B279" t="str">
        <f>"10.0304"</f>
        <v>10.0304</v>
      </c>
      <c r="C279" t="str">
        <f t="shared" si="6"/>
        <v>10</v>
      </c>
    </row>
    <row r="280" spans="1:3" x14ac:dyDescent="0.25">
      <c r="A280" t="s">
        <v>265</v>
      </c>
      <c r="B280" t="str">
        <f>"10.0305"</f>
        <v>10.0305</v>
      </c>
      <c r="C280" t="str">
        <f t="shared" si="6"/>
        <v>10</v>
      </c>
    </row>
    <row r="281" spans="1:3" x14ac:dyDescent="0.25">
      <c r="A281" t="s">
        <v>266</v>
      </c>
      <c r="B281" t="str">
        <f>"10.0306"</f>
        <v>10.0306</v>
      </c>
      <c r="C281" t="str">
        <f t="shared" si="6"/>
        <v>10</v>
      </c>
    </row>
    <row r="282" spans="1:3" x14ac:dyDescent="0.25">
      <c r="A282" t="s">
        <v>267</v>
      </c>
      <c r="B282" t="str">
        <f>"10.0307"</f>
        <v>10.0307</v>
      </c>
      <c r="C282" t="str">
        <f t="shared" si="6"/>
        <v>10</v>
      </c>
    </row>
    <row r="283" spans="1:3" x14ac:dyDescent="0.25">
      <c r="A283" t="s">
        <v>268</v>
      </c>
      <c r="B283" t="str">
        <f>"10.0308"</f>
        <v>10.0308</v>
      </c>
      <c r="C283" t="str">
        <f t="shared" si="6"/>
        <v>10</v>
      </c>
    </row>
    <row r="284" spans="1:3" x14ac:dyDescent="0.25">
      <c r="A284" t="s">
        <v>269</v>
      </c>
      <c r="B284" t="str">
        <f>"10.0399"</f>
        <v>10.0399</v>
      </c>
      <c r="C284" t="str">
        <f t="shared" si="6"/>
        <v>10</v>
      </c>
    </row>
    <row r="285" spans="1:3" x14ac:dyDescent="0.25">
      <c r="A285" t="s">
        <v>270</v>
      </c>
      <c r="B285" t="str">
        <f>"10.99"</f>
        <v>10.99</v>
      </c>
      <c r="C285" t="str">
        <f t="shared" si="6"/>
        <v>10</v>
      </c>
    </row>
    <row r="286" spans="1:3" x14ac:dyDescent="0.25">
      <c r="A286" t="s">
        <v>270</v>
      </c>
      <c r="B286" t="str">
        <f>"10.9999"</f>
        <v>10.9999</v>
      </c>
      <c r="C286" t="str">
        <f t="shared" si="6"/>
        <v>10</v>
      </c>
    </row>
    <row r="287" spans="1:3" x14ac:dyDescent="0.25">
      <c r="A287" t="s">
        <v>271</v>
      </c>
      <c r="B287" t="str">
        <f>"11"</f>
        <v>11</v>
      </c>
      <c r="C287" t="str">
        <f>"11"</f>
        <v>11</v>
      </c>
    </row>
    <row r="288" spans="1:3" x14ac:dyDescent="0.25">
      <c r="A288" t="s">
        <v>272</v>
      </c>
      <c r="B288" t="str">
        <f>"11.01"</f>
        <v>11.01</v>
      </c>
      <c r="C288" t="str">
        <f t="shared" ref="C288:C333" si="7">"11"</f>
        <v>11</v>
      </c>
    </row>
    <row r="289" spans="1:3" x14ac:dyDescent="0.25">
      <c r="A289" t="s">
        <v>272</v>
      </c>
      <c r="B289" t="str">
        <f>"11.0101"</f>
        <v>11.0101</v>
      </c>
      <c r="C289" t="str">
        <f t="shared" si="7"/>
        <v>11</v>
      </c>
    </row>
    <row r="290" spans="1:3" x14ac:dyDescent="0.25">
      <c r="A290" t="s">
        <v>273</v>
      </c>
      <c r="B290" t="str">
        <f>"11.0102"</f>
        <v>11.0102</v>
      </c>
      <c r="C290" t="str">
        <f t="shared" si="7"/>
        <v>11</v>
      </c>
    </row>
    <row r="291" spans="1:3" x14ac:dyDescent="0.25">
      <c r="A291" t="s">
        <v>274</v>
      </c>
      <c r="B291" t="str">
        <f>"11.0103"</f>
        <v>11.0103</v>
      </c>
      <c r="C291" t="str">
        <f t="shared" si="7"/>
        <v>11</v>
      </c>
    </row>
    <row r="292" spans="1:3" x14ac:dyDescent="0.25">
      <c r="A292" t="s">
        <v>275</v>
      </c>
      <c r="B292" t="str">
        <f>"11.0104"</f>
        <v>11.0104</v>
      </c>
      <c r="C292" t="str">
        <f t="shared" si="7"/>
        <v>11</v>
      </c>
    </row>
    <row r="293" spans="1:3" x14ac:dyDescent="0.25">
      <c r="A293" t="s">
        <v>1847</v>
      </c>
      <c r="B293" t="str">
        <f>"11.0105"</f>
        <v>11.0105</v>
      </c>
      <c r="C293" t="str">
        <f t="shared" si="7"/>
        <v>11</v>
      </c>
    </row>
    <row r="294" spans="1:3" x14ac:dyDescent="0.25">
      <c r="A294" t="s">
        <v>276</v>
      </c>
      <c r="B294" t="str">
        <f>"11.0199"</f>
        <v>11.0199</v>
      </c>
      <c r="C294" t="str">
        <f t="shared" si="7"/>
        <v>11</v>
      </c>
    </row>
    <row r="295" spans="1:3" x14ac:dyDescent="0.25">
      <c r="A295" t="s">
        <v>277</v>
      </c>
      <c r="B295" t="str">
        <f>"11.02"</f>
        <v>11.02</v>
      </c>
      <c r="C295" t="str">
        <f t="shared" si="7"/>
        <v>11</v>
      </c>
    </row>
    <row r="296" spans="1:3" x14ac:dyDescent="0.25">
      <c r="A296" t="s">
        <v>278</v>
      </c>
      <c r="B296" t="str">
        <f>"11.0201"</f>
        <v>11.0201</v>
      </c>
      <c r="C296" t="str">
        <f t="shared" si="7"/>
        <v>11</v>
      </c>
    </row>
    <row r="297" spans="1:3" x14ac:dyDescent="0.25">
      <c r="A297" t="s">
        <v>279</v>
      </c>
      <c r="B297" t="str">
        <f>"11.0202"</f>
        <v>11.0202</v>
      </c>
      <c r="C297" t="str">
        <f t="shared" si="7"/>
        <v>11</v>
      </c>
    </row>
    <row r="298" spans="1:3" x14ac:dyDescent="0.25">
      <c r="A298" t="s">
        <v>280</v>
      </c>
      <c r="B298" t="str">
        <f>"11.0203"</f>
        <v>11.0203</v>
      </c>
      <c r="C298" t="str">
        <f t="shared" si="7"/>
        <v>11</v>
      </c>
    </row>
    <row r="299" spans="1:3" x14ac:dyDescent="0.25">
      <c r="A299" t="s">
        <v>1848</v>
      </c>
      <c r="B299" t="str">
        <f>"11.0204"</f>
        <v>11.0204</v>
      </c>
      <c r="C299" t="str">
        <f t="shared" si="7"/>
        <v>11</v>
      </c>
    </row>
    <row r="300" spans="1:3" x14ac:dyDescent="0.25">
      <c r="A300" t="s">
        <v>1849</v>
      </c>
      <c r="B300" t="str">
        <f>"11.0205"</f>
        <v>11.0205</v>
      </c>
      <c r="C300" t="str">
        <f t="shared" si="7"/>
        <v>11</v>
      </c>
    </row>
    <row r="301" spans="1:3" x14ac:dyDescent="0.25">
      <c r="A301" t="s">
        <v>281</v>
      </c>
      <c r="B301" t="str">
        <f>"11.0299"</f>
        <v>11.0299</v>
      </c>
      <c r="C301" t="str">
        <f t="shared" si="7"/>
        <v>11</v>
      </c>
    </row>
    <row r="302" spans="1:3" x14ac:dyDescent="0.25">
      <c r="A302" t="s">
        <v>282</v>
      </c>
      <c r="B302" t="str">
        <f>"11.03"</f>
        <v>11.03</v>
      </c>
      <c r="C302" t="str">
        <f t="shared" si="7"/>
        <v>11</v>
      </c>
    </row>
    <row r="303" spans="1:3" x14ac:dyDescent="0.25">
      <c r="A303" t="s">
        <v>1850</v>
      </c>
      <c r="B303" t="str">
        <f>"11.0301"</f>
        <v>11.0301</v>
      </c>
      <c r="C303" t="str">
        <f t="shared" si="7"/>
        <v>11</v>
      </c>
    </row>
    <row r="304" spans="1:3" x14ac:dyDescent="0.25">
      <c r="A304" t="s">
        <v>283</v>
      </c>
      <c r="B304" t="str">
        <f>"11.04"</f>
        <v>11.04</v>
      </c>
      <c r="C304" t="str">
        <f t="shared" si="7"/>
        <v>11</v>
      </c>
    </row>
    <row r="305" spans="1:3" x14ac:dyDescent="0.25">
      <c r="A305" t="s">
        <v>283</v>
      </c>
      <c r="B305" t="str">
        <f>"11.0401"</f>
        <v>11.0401</v>
      </c>
      <c r="C305" t="str">
        <f t="shared" si="7"/>
        <v>11</v>
      </c>
    </row>
    <row r="306" spans="1:3" x14ac:dyDescent="0.25">
      <c r="A306" t="s">
        <v>284</v>
      </c>
      <c r="B306" t="str">
        <f>"11.05"</f>
        <v>11.05</v>
      </c>
      <c r="C306" t="str">
        <f t="shared" si="7"/>
        <v>11</v>
      </c>
    </row>
    <row r="307" spans="1:3" x14ac:dyDescent="0.25">
      <c r="A307" t="s">
        <v>1851</v>
      </c>
      <c r="B307" t="str">
        <f>"11.0501"</f>
        <v>11.0501</v>
      </c>
      <c r="C307" t="str">
        <f t="shared" si="7"/>
        <v>11</v>
      </c>
    </row>
    <row r="308" spans="1:3" x14ac:dyDescent="0.25">
      <c r="A308" t="s">
        <v>285</v>
      </c>
      <c r="B308" t="str">
        <f>"11.06"</f>
        <v>11.06</v>
      </c>
      <c r="C308" t="str">
        <f t="shared" si="7"/>
        <v>11</v>
      </c>
    </row>
    <row r="309" spans="1:3" x14ac:dyDescent="0.25">
      <c r="A309" t="s">
        <v>286</v>
      </c>
      <c r="B309" t="str">
        <f>"11.0601"</f>
        <v>11.0601</v>
      </c>
      <c r="C309" t="str">
        <f t="shared" si="7"/>
        <v>11</v>
      </c>
    </row>
    <row r="310" spans="1:3" x14ac:dyDescent="0.25">
      <c r="A310" t="s">
        <v>287</v>
      </c>
      <c r="B310" t="str">
        <f>"11.0602"</f>
        <v>11.0602</v>
      </c>
      <c r="C310" t="str">
        <f t="shared" si="7"/>
        <v>11</v>
      </c>
    </row>
    <row r="311" spans="1:3" x14ac:dyDescent="0.25">
      <c r="A311" t="s">
        <v>288</v>
      </c>
      <c r="B311" t="str">
        <f>"11.0699"</f>
        <v>11.0699</v>
      </c>
      <c r="C311" t="str">
        <f t="shared" si="7"/>
        <v>11</v>
      </c>
    </row>
    <row r="312" spans="1:3" x14ac:dyDescent="0.25">
      <c r="A312" t="s">
        <v>289</v>
      </c>
      <c r="B312" t="str">
        <f>"11.07"</f>
        <v>11.07</v>
      </c>
      <c r="C312" t="str">
        <f t="shared" si="7"/>
        <v>11</v>
      </c>
    </row>
    <row r="313" spans="1:3" x14ac:dyDescent="0.25">
      <c r="A313" t="s">
        <v>289</v>
      </c>
      <c r="B313" t="str">
        <f>"11.0701"</f>
        <v>11.0701</v>
      </c>
      <c r="C313" t="str">
        <f t="shared" si="7"/>
        <v>11</v>
      </c>
    </row>
    <row r="314" spans="1:3" x14ac:dyDescent="0.25">
      <c r="A314" t="s">
        <v>290</v>
      </c>
      <c r="B314" t="str">
        <f>"11.08"</f>
        <v>11.08</v>
      </c>
      <c r="C314" t="str">
        <f t="shared" si="7"/>
        <v>11</v>
      </c>
    </row>
    <row r="315" spans="1:3" x14ac:dyDescent="0.25">
      <c r="A315" t="s">
        <v>291</v>
      </c>
      <c r="B315" t="str">
        <f>"11.0801"</f>
        <v>11.0801</v>
      </c>
      <c r="C315" t="str">
        <f t="shared" si="7"/>
        <v>11</v>
      </c>
    </row>
    <row r="316" spans="1:3" x14ac:dyDescent="0.25">
      <c r="A316" t="s">
        <v>292</v>
      </c>
      <c r="B316" t="str">
        <f>"11.0802"</f>
        <v>11.0802</v>
      </c>
      <c r="C316" t="str">
        <f t="shared" si="7"/>
        <v>11</v>
      </c>
    </row>
    <row r="317" spans="1:3" x14ac:dyDescent="0.25">
      <c r="A317" t="s">
        <v>293</v>
      </c>
      <c r="B317" t="str">
        <f>"11.0803"</f>
        <v>11.0803</v>
      </c>
      <c r="C317" t="str">
        <f t="shared" si="7"/>
        <v>11</v>
      </c>
    </row>
    <row r="318" spans="1:3" x14ac:dyDescent="0.25">
      <c r="A318" t="s">
        <v>294</v>
      </c>
      <c r="B318" t="str">
        <f>"11.0804"</f>
        <v>11.0804</v>
      </c>
      <c r="C318" t="str">
        <f t="shared" si="7"/>
        <v>11</v>
      </c>
    </row>
    <row r="319" spans="1:3" x14ac:dyDescent="0.25">
      <c r="A319" t="s">
        <v>295</v>
      </c>
      <c r="B319" t="str">
        <f>"11.0899"</f>
        <v>11.0899</v>
      </c>
      <c r="C319" t="str">
        <f t="shared" si="7"/>
        <v>11</v>
      </c>
    </row>
    <row r="320" spans="1:3" x14ac:dyDescent="0.25">
      <c r="A320" t="s">
        <v>296</v>
      </c>
      <c r="B320" t="str">
        <f>"11.09"</f>
        <v>11.09</v>
      </c>
      <c r="C320" t="str">
        <f t="shared" si="7"/>
        <v>11</v>
      </c>
    </row>
    <row r="321" spans="1:3" x14ac:dyDescent="0.25">
      <c r="A321" t="s">
        <v>296</v>
      </c>
      <c r="B321" t="str">
        <f>"11.0901"</f>
        <v>11.0901</v>
      </c>
      <c r="C321" t="str">
        <f t="shared" si="7"/>
        <v>11</v>
      </c>
    </row>
    <row r="322" spans="1:3" x14ac:dyDescent="0.25">
      <c r="A322" t="s">
        <v>1852</v>
      </c>
      <c r="B322" t="str">
        <f>"11.0902"</f>
        <v>11.0902</v>
      </c>
      <c r="C322" t="str">
        <f t="shared" si="7"/>
        <v>11</v>
      </c>
    </row>
    <row r="323" spans="1:3" x14ac:dyDescent="0.25">
      <c r="A323" t="s">
        <v>1853</v>
      </c>
      <c r="B323" t="str">
        <f>"11.0999"</f>
        <v>11.0999</v>
      </c>
      <c r="C323" t="str">
        <f t="shared" si="7"/>
        <v>11</v>
      </c>
    </row>
    <row r="324" spans="1:3" x14ac:dyDescent="0.25">
      <c r="A324" t="s">
        <v>297</v>
      </c>
      <c r="B324" t="str">
        <f>"11.10"</f>
        <v>11.10</v>
      </c>
      <c r="C324" t="str">
        <f t="shared" si="7"/>
        <v>11</v>
      </c>
    </row>
    <row r="325" spans="1:3" x14ac:dyDescent="0.25">
      <c r="A325" t="s">
        <v>298</v>
      </c>
      <c r="B325" t="str">
        <f>"11.1001"</f>
        <v>11.1001</v>
      </c>
      <c r="C325" t="str">
        <f t="shared" si="7"/>
        <v>11</v>
      </c>
    </row>
    <row r="326" spans="1:3" x14ac:dyDescent="0.25">
      <c r="A326" t="s">
        <v>299</v>
      </c>
      <c r="B326" t="str">
        <f>"11.1002"</f>
        <v>11.1002</v>
      </c>
      <c r="C326" t="str">
        <f t="shared" si="7"/>
        <v>11</v>
      </c>
    </row>
    <row r="327" spans="1:3" x14ac:dyDescent="0.25">
      <c r="A327" t="s">
        <v>1854</v>
      </c>
      <c r="B327" t="str">
        <f>"11.1003"</f>
        <v>11.1003</v>
      </c>
      <c r="C327" t="str">
        <f t="shared" si="7"/>
        <v>11</v>
      </c>
    </row>
    <row r="328" spans="1:3" x14ac:dyDescent="0.25">
      <c r="A328" t="s">
        <v>300</v>
      </c>
      <c r="B328" t="str">
        <f>"11.1004"</f>
        <v>11.1004</v>
      </c>
      <c r="C328" t="str">
        <f t="shared" si="7"/>
        <v>11</v>
      </c>
    </row>
    <row r="329" spans="1:3" x14ac:dyDescent="0.25">
      <c r="A329" t="s">
        <v>301</v>
      </c>
      <c r="B329" t="str">
        <f>"11.1005"</f>
        <v>11.1005</v>
      </c>
      <c r="C329" t="str">
        <f t="shared" si="7"/>
        <v>11</v>
      </c>
    </row>
    <row r="330" spans="1:3" x14ac:dyDescent="0.25">
      <c r="A330" t="s">
        <v>302</v>
      </c>
      <c r="B330" t="str">
        <f>"11.1006"</f>
        <v>11.1006</v>
      </c>
      <c r="C330" t="str">
        <f t="shared" si="7"/>
        <v>11</v>
      </c>
    </row>
    <row r="331" spans="1:3" x14ac:dyDescent="0.25">
      <c r="A331" t="s">
        <v>303</v>
      </c>
      <c r="B331" t="str">
        <f>"11.1099"</f>
        <v>11.1099</v>
      </c>
      <c r="C331" t="str">
        <f t="shared" si="7"/>
        <v>11</v>
      </c>
    </row>
    <row r="332" spans="1:3" x14ac:dyDescent="0.25">
      <c r="A332" t="s">
        <v>304</v>
      </c>
      <c r="B332" t="str">
        <f>"11.99"</f>
        <v>11.99</v>
      </c>
      <c r="C332" t="str">
        <f t="shared" si="7"/>
        <v>11</v>
      </c>
    </row>
    <row r="333" spans="1:3" x14ac:dyDescent="0.25">
      <c r="A333" t="s">
        <v>304</v>
      </c>
      <c r="B333" t="str">
        <f>"11.9999"</f>
        <v>11.9999</v>
      </c>
      <c r="C333" t="str">
        <f t="shared" si="7"/>
        <v>11</v>
      </c>
    </row>
    <row r="334" spans="1:3" x14ac:dyDescent="0.25">
      <c r="A334" t="s">
        <v>1855</v>
      </c>
      <c r="B334" t="str">
        <f>"12"</f>
        <v>12</v>
      </c>
      <c r="C334" t="str">
        <f>"12"</f>
        <v>12</v>
      </c>
    </row>
    <row r="335" spans="1:3" x14ac:dyDescent="0.25">
      <c r="A335" t="s">
        <v>305</v>
      </c>
      <c r="B335" t="str">
        <f>"12.03"</f>
        <v>12.03</v>
      </c>
      <c r="C335" t="str">
        <f t="shared" ref="C335:C373" si="8">"12"</f>
        <v>12</v>
      </c>
    </row>
    <row r="336" spans="1:3" x14ac:dyDescent="0.25">
      <c r="A336" t="s">
        <v>306</v>
      </c>
      <c r="B336" t="str">
        <f>"12.0301"</f>
        <v>12.0301</v>
      </c>
      <c r="C336" t="str">
        <f t="shared" si="8"/>
        <v>12</v>
      </c>
    </row>
    <row r="337" spans="1:3" x14ac:dyDescent="0.25">
      <c r="A337" t="s">
        <v>307</v>
      </c>
      <c r="B337" t="str">
        <f>"12.0302"</f>
        <v>12.0302</v>
      </c>
      <c r="C337" t="str">
        <f t="shared" si="8"/>
        <v>12</v>
      </c>
    </row>
    <row r="338" spans="1:3" x14ac:dyDescent="0.25">
      <c r="A338" t="s">
        <v>308</v>
      </c>
      <c r="B338" t="str">
        <f>"12.0303"</f>
        <v>12.0303</v>
      </c>
      <c r="C338" t="str">
        <f t="shared" si="8"/>
        <v>12</v>
      </c>
    </row>
    <row r="339" spans="1:3" x14ac:dyDescent="0.25">
      <c r="A339" t="s">
        <v>309</v>
      </c>
      <c r="B339" t="str">
        <f>"12.0399"</f>
        <v>12.0399</v>
      </c>
      <c r="C339" t="str">
        <f t="shared" si="8"/>
        <v>12</v>
      </c>
    </row>
    <row r="340" spans="1:3" x14ac:dyDescent="0.25">
      <c r="A340" t="s">
        <v>310</v>
      </c>
      <c r="B340" t="str">
        <f>"12.04"</f>
        <v>12.04</v>
      </c>
      <c r="C340" t="str">
        <f t="shared" si="8"/>
        <v>12</v>
      </c>
    </row>
    <row r="341" spans="1:3" x14ac:dyDescent="0.25">
      <c r="A341" t="s">
        <v>311</v>
      </c>
      <c r="B341" t="str">
        <f>"12.0401"</f>
        <v>12.0401</v>
      </c>
      <c r="C341" t="str">
        <f t="shared" si="8"/>
        <v>12</v>
      </c>
    </row>
    <row r="342" spans="1:3" x14ac:dyDescent="0.25">
      <c r="A342" t="s">
        <v>312</v>
      </c>
      <c r="B342" t="str">
        <f>"12.0402"</f>
        <v>12.0402</v>
      </c>
      <c r="C342" t="str">
        <f t="shared" si="8"/>
        <v>12</v>
      </c>
    </row>
    <row r="343" spans="1:3" x14ac:dyDescent="0.25">
      <c r="A343" t="s">
        <v>313</v>
      </c>
      <c r="B343" t="str">
        <f>"12.0404"</f>
        <v>12.0404</v>
      </c>
      <c r="C343" t="str">
        <f t="shared" si="8"/>
        <v>12</v>
      </c>
    </row>
    <row r="344" spans="1:3" x14ac:dyDescent="0.25">
      <c r="A344" t="s">
        <v>314</v>
      </c>
      <c r="B344" t="str">
        <f>"12.0406"</f>
        <v>12.0406</v>
      </c>
      <c r="C344" t="str">
        <f t="shared" si="8"/>
        <v>12</v>
      </c>
    </row>
    <row r="345" spans="1:3" x14ac:dyDescent="0.25">
      <c r="A345" t="s">
        <v>315</v>
      </c>
      <c r="B345" t="str">
        <f>"12.0407"</f>
        <v>12.0407</v>
      </c>
      <c r="C345" t="str">
        <f t="shared" si="8"/>
        <v>12</v>
      </c>
    </row>
    <row r="346" spans="1:3" x14ac:dyDescent="0.25">
      <c r="A346" t="s">
        <v>316</v>
      </c>
      <c r="B346" t="str">
        <f>"12.0408"</f>
        <v>12.0408</v>
      </c>
      <c r="C346" t="str">
        <f t="shared" si="8"/>
        <v>12</v>
      </c>
    </row>
    <row r="347" spans="1:3" x14ac:dyDescent="0.25">
      <c r="A347" t="s">
        <v>317</v>
      </c>
      <c r="B347" t="str">
        <f>"12.0409"</f>
        <v>12.0409</v>
      </c>
      <c r="C347" t="str">
        <f t="shared" si="8"/>
        <v>12</v>
      </c>
    </row>
    <row r="348" spans="1:3" x14ac:dyDescent="0.25">
      <c r="A348" t="s">
        <v>318</v>
      </c>
      <c r="B348" t="str">
        <f>"12.0410"</f>
        <v>12.0410</v>
      </c>
      <c r="C348" t="str">
        <f t="shared" si="8"/>
        <v>12</v>
      </c>
    </row>
    <row r="349" spans="1:3" x14ac:dyDescent="0.25">
      <c r="A349" t="s">
        <v>319</v>
      </c>
      <c r="B349" t="str">
        <f>"12.0411"</f>
        <v>12.0411</v>
      </c>
      <c r="C349" t="str">
        <f t="shared" si="8"/>
        <v>12</v>
      </c>
    </row>
    <row r="350" spans="1:3" x14ac:dyDescent="0.25">
      <c r="A350" t="s">
        <v>320</v>
      </c>
      <c r="B350" t="str">
        <f>"12.0412"</f>
        <v>12.0412</v>
      </c>
      <c r="C350" t="str">
        <f t="shared" si="8"/>
        <v>12</v>
      </c>
    </row>
    <row r="351" spans="1:3" x14ac:dyDescent="0.25">
      <c r="A351" t="s">
        <v>321</v>
      </c>
      <c r="B351" t="str">
        <f>"12.0413"</f>
        <v>12.0413</v>
      </c>
      <c r="C351" t="str">
        <f t="shared" si="8"/>
        <v>12</v>
      </c>
    </row>
    <row r="352" spans="1:3" x14ac:dyDescent="0.25">
      <c r="A352" t="s">
        <v>322</v>
      </c>
      <c r="B352" t="str">
        <f>"12.0414"</f>
        <v>12.0414</v>
      </c>
      <c r="C352" t="str">
        <f t="shared" si="8"/>
        <v>12</v>
      </c>
    </row>
    <row r="353" spans="1:3" x14ac:dyDescent="0.25">
      <c r="A353" t="s">
        <v>323</v>
      </c>
      <c r="B353" t="str">
        <f>"12.0499"</f>
        <v>12.0499</v>
      </c>
      <c r="C353" t="str">
        <f t="shared" si="8"/>
        <v>12</v>
      </c>
    </row>
    <row r="354" spans="1:3" x14ac:dyDescent="0.25">
      <c r="A354" t="s">
        <v>324</v>
      </c>
      <c r="B354" t="str">
        <f>"12.05"</f>
        <v>12.05</v>
      </c>
      <c r="C354" t="str">
        <f t="shared" si="8"/>
        <v>12</v>
      </c>
    </row>
    <row r="355" spans="1:3" x14ac:dyDescent="0.25">
      <c r="A355" t="s">
        <v>325</v>
      </c>
      <c r="B355" t="str">
        <f>"12.0500"</f>
        <v>12.0500</v>
      </c>
      <c r="C355" t="str">
        <f t="shared" si="8"/>
        <v>12</v>
      </c>
    </row>
    <row r="356" spans="1:3" x14ac:dyDescent="0.25">
      <c r="A356" t="s">
        <v>326</v>
      </c>
      <c r="B356" t="str">
        <f>"12.0501"</f>
        <v>12.0501</v>
      </c>
      <c r="C356" t="str">
        <f t="shared" si="8"/>
        <v>12</v>
      </c>
    </row>
    <row r="357" spans="1:3" x14ac:dyDescent="0.25">
      <c r="A357" t="s">
        <v>327</v>
      </c>
      <c r="B357" t="str">
        <f>"12.0502"</f>
        <v>12.0502</v>
      </c>
      <c r="C357" t="str">
        <f t="shared" si="8"/>
        <v>12</v>
      </c>
    </row>
    <row r="358" spans="1:3" x14ac:dyDescent="0.25">
      <c r="A358" t="s">
        <v>328</v>
      </c>
      <c r="B358" t="str">
        <f>"12.0503"</f>
        <v>12.0503</v>
      </c>
      <c r="C358" t="str">
        <f t="shared" si="8"/>
        <v>12</v>
      </c>
    </row>
    <row r="359" spans="1:3" x14ac:dyDescent="0.25">
      <c r="A359" t="s">
        <v>329</v>
      </c>
      <c r="B359" t="str">
        <f>"12.0504"</f>
        <v>12.0504</v>
      </c>
      <c r="C359" t="str">
        <f t="shared" si="8"/>
        <v>12</v>
      </c>
    </row>
    <row r="360" spans="1:3" x14ac:dyDescent="0.25">
      <c r="A360" t="s">
        <v>330</v>
      </c>
      <c r="B360" t="str">
        <f>"12.0505"</f>
        <v>12.0505</v>
      </c>
      <c r="C360" t="str">
        <f t="shared" si="8"/>
        <v>12</v>
      </c>
    </row>
    <row r="361" spans="1:3" x14ac:dyDescent="0.25">
      <c r="A361" t="s">
        <v>331</v>
      </c>
      <c r="B361" t="str">
        <f>"12.0506"</f>
        <v>12.0506</v>
      </c>
      <c r="C361" t="str">
        <f t="shared" si="8"/>
        <v>12</v>
      </c>
    </row>
    <row r="362" spans="1:3" x14ac:dyDescent="0.25">
      <c r="A362" t="s">
        <v>332</v>
      </c>
      <c r="B362" t="str">
        <f>"12.0507"</f>
        <v>12.0507</v>
      </c>
      <c r="C362" t="str">
        <f t="shared" si="8"/>
        <v>12</v>
      </c>
    </row>
    <row r="363" spans="1:3" x14ac:dyDescent="0.25">
      <c r="A363" t="s">
        <v>333</v>
      </c>
      <c r="B363" t="str">
        <f>"12.0508"</f>
        <v>12.0508</v>
      </c>
      <c r="C363" t="str">
        <f t="shared" si="8"/>
        <v>12</v>
      </c>
    </row>
    <row r="364" spans="1:3" x14ac:dyDescent="0.25">
      <c r="A364" t="s">
        <v>334</v>
      </c>
      <c r="B364" t="str">
        <f>"12.0509"</f>
        <v>12.0509</v>
      </c>
      <c r="C364" t="str">
        <f t="shared" si="8"/>
        <v>12</v>
      </c>
    </row>
    <row r="365" spans="1:3" x14ac:dyDescent="0.25">
      <c r="A365" t="s">
        <v>335</v>
      </c>
      <c r="B365" t="str">
        <f>"12.0510"</f>
        <v>12.0510</v>
      </c>
      <c r="C365" t="str">
        <f t="shared" si="8"/>
        <v>12</v>
      </c>
    </row>
    <row r="366" spans="1:3" x14ac:dyDescent="0.25">
      <c r="A366" t="s">
        <v>1793</v>
      </c>
      <c r="B366" t="str">
        <f>"12.0580"</f>
        <v>12.0580</v>
      </c>
      <c r="C366" t="str">
        <f t="shared" si="8"/>
        <v>12</v>
      </c>
    </row>
    <row r="367" spans="1:3" x14ac:dyDescent="0.25">
      <c r="A367" t="s">
        <v>336</v>
      </c>
      <c r="B367" t="str">
        <f>"12.0599"</f>
        <v>12.0599</v>
      </c>
      <c r="C367" t="str">
        <f t="shared" si="8"/>
        <v>12</v>
      </c>
    </row>
    <row r="368" spans="1:3" x14ac:dyDescent="0.25">
      <c r="A368" t="s">
        <v>1856</v>
      </c>
      <c r="B368" t="str">
        <f>"12.06"</f>
        <v>12.06</v>
      </c>
      <c r="C368" t="str">
        <f t="shared" si="8"/>
        <v>12</v>
      </c>
    </row>
    <row r="369" spans="1:3" x14ac:dyDescent="0.25">
      <c r="A369" t="s">
        <v>1857</v>
      </c>
      <c r="B369" t="str">
        <f>"12.0601"</f>
        <v>12.0601</v>
      </c>
      <c r="C369" t="str">
        <f t="shared" si="8"/>
        <v>12</v>
      </c>
    </row>
    <row r="370" spans="1:3" x14ac:dyDescent="0.25">
      <c r="A370" t="s">
        <v>1858</v>
      </c>
      <c r="B370" t="str">
        <f>"12.0602"</f>
        <v>12.0602</v>
      </c>
      <c r="C370" t="str">
        <f t="shared" si="8"/>
        <v>12</v>
      </c>
    </row>
    <row r="371" spans="1:3" x14ac:dyDescent="0.25">
      <c r="A371" t="s">
        <v>1859</v>
      </c>
      <c r="B371" t="str">
        <f>"12.0699"</f>
        <v>12.0699</v>
      </c>
      <c r="C371" t="str">
        <f t="shared" si="8"/>
        <v>12</v>
      </c>
    </row>
    <row r="372" spans="1:3" x14ac:dyDescent="0.25">
      <c r="A372" t="s">
        <v>1860</v>
      </c>
      <c r="B372" t="str">
        <f>"12.99"</f>
        <v>12.99</v>
      </c>
      <c r="C372" t="str">
        <f t="shared" si="8"/>
        <v>12</v>
      </c>
    </row>
    <row r="373" spans="1:3" x14ac:dyDescent="0.25">
      <c r="A373" t="s">
        <v>1860</v>
      </c>
      <c r="B373" t="str">
        <f>"12.9999"</f>
        <v>12.9999</v>
      </c>
      <c r="C373" t="str">
        <f t="shared" si="8"/>
        <v>12</v>
      </c>
    </row>
    <row r="374" spans="1:3" x14ac:dyDescent="0.25">
      <c r="A374" t="s">
        <v>337</v>
      </c>
      <c r="B374" t="str">
        <f>"13"</f>
        <v>13</v>
      </c>
      <c r="C374" t="str">
        <f>"13"</f>
        <v>13</v>
      </c>
    </row>
    <row r="375" spans="1:3" x14ac:dyDescent="0.25">
      <c r="A375" t="s">
        <v>338</v>
      </c>
      <c r="B375" t="str">
        <f>"13.01"</f>
        <v>13.01</v>
      </c>
      <c r="C375" t="str">
        <f t="shared" ref="C375:C438" si="9">"13"</f>
        <v>13</v>
      </c>
    </row>
    <row r="376" spans="1:3" x14ac:dyDescent="0.25">
      <c r="A376" t="s">
        <v>338</v>
      </c>
      <c r="B376" t="str">
        <f>"13.0101"</f>
        <v>13.0101</v>
      </c>
      <c r="C376" t="str">
        <f t="shared" si="9"/>
        <v>13</v>
      </c>
    </row>
    <row r="377" spans="1:3" x14ac:dyDescent="0.25">
      <c r="A377" t="s">
        <v>339</v>
      </c>
      <c r="B377" t="str">
        <f>"13.02"</f>
        <v>13.02</v>
      </c>
      <c r="C377" t="str">
        <f t="shared" si="9"/>
        <v>13</v>
      </c>
    </row>
    <row r="378" spans="1:3" x14ac:dyDescent="0.25">
      <c r="A378" t="s">
        <v>340</v>
      </c>
      <c r="B378" t="str">
        <f>"13.0201"</f>
        <v>13.0201</v>
      </c>
      <c r="C378" t="str">
        <f t="shared" si="9"/>
        <v>13</v>
      </c>
    </row>
    <row r="379" spans="1:3" x14ac:dyDescent="0.25">
      <c r="A379" t="s">
        <v>341</v>
      </c>
      <c r="B379" t="str">
        <f>"13.0202"</f>
        <v>13.0202</v>
      </c>
      <c r="C379" t="str">
        <f t="shared" si="9"/>
        <v>13</v>
      </c>
    </row>
    <row r="380" spans="1:3" x14ac:dyDescent="0.25">
      <c r="A380" t="s">
        <v>342</v>
      </c>
      <c r="B380" t="str">
        <f>"13.0203"</f>
        <v>13.0203</v>
      </c>
      <c r="C380" t="str">
        <f t="shared" si="9"/>
        <v>13</v>
      </c>
    </row>
    <row r="381" spans="1:3" x14ac:dyDescent="0.25">
      <c r="A381" t="s">
        <v>343</v>
      </c>
      <c r="B381" t="str">
        <f>"13.0299"</f>
        <v>13.0299</v>
      </c>
      <c r="C381" t="str">
        <f t="shared" si="9"/>
        <v>13</v>
      </c>
    </row>
    <row r="382" spans="1:3" x14ac:dyDescent="0.25">
      <c r="A382" t="s">
        <v>344</v>
      </c>
      <c r="B382" t="str">
        <f>"13.03"</f>
        <v>13.03</v>
      </c>
      <c r="C382" t="str">
        <f t="shared" si="9"/>
        <v>13</v>
      </c>
    </row>
    <row r="383" spans="1:3" x14ac:dyDescent="0.25">
      <c r="A383" t="s">
        <v>344</v>
      </c>
      <c r="B383" t="str">
        <f>"13.0301"</f>
        <v>13.0301</v>
      </c>
      <c r="C383" t="str">
        <f t="shared" si="9"/>
        <v>13</v>
      </c>
    </row>
    <row r="384" spans="1:3" x14ac:dyDescent="0.25">
      <c r="A384" t="s">
        <v>345</v>
      </c>
      <c r="B384" t="str">
        <f>"13.04"</f>
        <v>13.04</v>
      </c>
      <c r="C384" t="str">
        <f t="shared" si="9"/>
        <v>13</v>
      </c>
    </row>
    <row r="385" spans="1:3" x14ac:dyDescent="0.25">
      <c r="A385" t="s">
        <v>346</v>
      </c>
      <c r="B385" t="str">
        <f>"13.0401"</f>
        <v>13.0401</v>
      </c>
      <c r="C385" t="str">
        <f t="shared" si="9"/>
        <v>13</v>
      </c>
    </row>
    <row r="386" spans="1:3" x14ac:dyDescent="0.25">
      <c r="A386" t="s">
        <v>347</v>
      </c>
      <c r="B386" t="str">
        <f>"13.0402"</f>
        <v>13.0402</v>
      </c>
      <c r="C386" t="str">
        <f t="shared" si="9"/>
        <v>13</v>
      </c>
    </row>
    <row r="387" spans="1:3" x14ac:dyDescent="0.25">
      <c r="A387" t="s">
        <v>348</v>
      </c>
      <c r="B387" t="str">
        <f>"13.0403"</f>
        <v>13.0403</v>
      </c>
      <c r="C387" t="str">
        <f t="shared" si="9"/>
        <v>13</v>
      </c>
    </row>
    <row r="388" spans="1:3" x14ac:dyDescent="0.25">
      <c r="A388" t="s">
        <v>349</v>
      </c>
      <c r="B388" t="str">
        <f>"13.0404"</f>
        <v>13.0404</v>
      </c>
      <c r="C388" t="str">
        <f t="shared" si="9"/>
        <v>13</v>
      </c>
    </row>
    <row r="389" spans="1:3" x14ac:dyDescent="0.25">
      <c r="A389" t="s">
        <v>350</v>
      </c>
      <c r="B389" t="str">
        <f>"13.0406"</f>
        <v>13.0406</v>
      </c>
      <c r="C389" t="str">
        <f t="shared" si="9"/>
        <v>13</v>
      </c>
    </row>
    <row r="390" spans="1:3" x14ac:dyDescent="0.25">
      <c r="A390" t="s">
        <v>1861</v>
      </c>
      <c r="B390" t="str">
        <f>"13.0407"</f>
        <v>13.0407</v>
      </c>
      <c r="C390" t="str">
        <f t="shared" si="9"/>
        <v>13</v>
      </c>
    </row>
    <row r="391" spans="1:3" x14ac:dyDescent="0.25">
      <c r="A391" t="s">
        <v>351</v>
      </c>
      <c r="B391" t="str">
        <f>"13.0408"</f>
        <v>13.0408</v>
      </c>
      <c r="C391" t="str">
        <f t="shared" si="9"/>
        <v>13</v>
      </c>
    </row>
    <row r="392" spans="1:3" x14ac:dyDescent="0.25">
      <c r="A392" t="s">
        <v>352</v>
      </c>
      <c r="B392" t="str">
        <f>"13.0409"</f>
        <v>13.0409</v>
      </c>
      <c r="C392" t="str">
        <f t="shared" si="9"/>
        <v>13</v>
      </c>
    </row>
    <row r="393" spans="1:3" x14ac:dyDescent="0.25">
      <c r="A393" t="s">
        <v>353</v>
      </c>
      <c r="B393" t="str">
        <f>"13.0410"</f>
        <v>13.0410</v>
      </c>
      <c r="C393" t="str">
        <f t="shared" si="9"/>
        <v>13</v>
      </c>
    </row>
    <row r="394" spans="1:3" x14ac:dyDescent="0.25">
      <c r="A394" t="s">
        <v>354</v>
      </c>
      <c r="B394" t="str">
        <f>"13.0411"</f>
        <v>13.0411</v>
      </c>
      <c r="C394" t="str">
        <f t="shared" si="9"/>
        <v>13</v>
      </c>
    </row>
    <row r="395" spans="1:3" x14ac:dyDescent="0.25">
      <c r="A395" t="s">
        <v>1862</v>
      </c>
      <c r="B395" t="str">
        <f>"13.0412"</f>
        <v>13.0412</v>
      </c>
      <c r="C395" t="str">
        <f t="shared" si="9"/>
        <v>13</v>
      </c>
    </row>
    <row r="396" spans="1:3" x14ac:dyDescent="0.25">
      <c r="A396" t="s">
        <v>1863</v>
      </c>
      <c r="B396" t="str">
        <f>"13.0413"</f>
        <v>13.0413</v>
      </c>
      <c r="C396" t="str">
        <f t="shared" si="9"/>
        <v>13</v>
      </c>
    </row>
    <row r="397" spans="1:3" x14ac:dyDescent="0.25">
      <c r="A397" t="s">
        <v>1864</v>
      </c>
      <c r="B397" t="str">
        <f>"13.0414"</f>
        <v>13.0414</v>
      </c>
      <c r="C397" t="str">
        <f t="shared" si="9"/>
        <v>13</v>
      </c>
    </row>
    <row r="398" spans="1:3" x14ac:dyDescent="0.25">
      <c r="A398" t="s">
        <v>355</v>
      </c>
      <c r="B398" t="str">
        <f>"13.0499"</f>
        <v>13.0499</v>
      </c>
      <c r="C398" t="str">
        <f t="shared" si="9"/>
        <v>13</v>
      </c>
    </row>
    <row r="399" spans="1:3" x14ac:dyDescent="0.25">
      <c r="A399" t="s">
        <v>356</v>
      </c>
      <c r="B399" t="str">
        <f>"13.05"</f>
        <v>13.05</v>
      </c>
      <c r="C399" t="str">
        <f t="shared" si="9"/>
        <v>13</v>
      </c>
    </row>
    <row r="400" spans="1:3" x14ac:dyDescent="0.25">
      <c r="A400" t="s">
        <v>1865</v>
      </c>
      <c r="B400" t="str">
        <f>"13.0501"</f>
        <v>13.0501</v>
      </c>
      <c r="C400" t="str">
        <f t="shared" si="9"/>
        <v>13</v>
      </c>
    </row>
    <row r="401" spans="1:3" x14ac:dyDescent="0.25">
      <c r="A401" t="s">
        <v>357</v>
      </c>
      <c r="B401" t="str">
        <f>"13.06"</f>
        <v>13.06</v>
      </c>
      <c r="C401" t="str">
        <f t="shared" si="9"/>
        <v>13</v>
      </c>
    </row>
    <row r="402" spans="1:3" x14ac:dyDescent="0.25">
      <c r="A402" t="s">
        <v>358</v>
      </c>
      <c r="B402" t="str">
        <f>"13.0601"</f>
        <v>13.0601</v>
      </c>
      <c r="C402" t="str">
        <f t="shared" si="9"/>
        <v>13</v>
      </c>
    </row>
    <row r="403" spans="1:3" x14ac:dyDescent="0.25">
      <c r="A403" t="s">
        <v>359</v>
      </c>
      <c r="B403" t="str">
        <f>"13.0603"</f>
        <v>13.0603</v>
      </c>
      <c r="C403" t="str">
        <f t="shared" si="9"/>
        <v>13</v>
      </c>
    </row>
    <row r="404" spans="1:3" x14ac:dyDescent="0.25">
      <c r="A404" t="s">
        <v>360</v>
      </c>
      <c r="B404" t="str">
        <f>"13.0604"</f>
        <v>13.0604</v>
      </c>
      <c r="C404" t="str">
        <f t="shared" si="9"/>
        <v>13</v>
      </c>
    </row>
    <row r="405" spans="1:3" x14ac:dyDescent="0.25">
      <c r="A405" t="s">
        <v>361</v>
      </c>
      <c r="B405" t="str">
        <f>"13.0607"</f>
        <v>13.0607</v>
      </c>
      <c r="C405" t="str">
        <f t="shared" si="9"/>
        <v>13</v>
      </c>
    </row>
    <row r="406" spans="1:3" x14ac:dyDescent="0.25">
      <c r="A406" t="s">
        <v>1866</v>
      </c>
      <c r="B406" t="str">
        <f>"13.0608"</f>
        <v>13.0608</v>
      </c>
      <c r="C406" t="str">
        <f t="shared" si="9"/>
        <v>13</v>
      </c>
    </row>
    <row r="407" spans="1:3" x14ac:dyDescent="0.25">
      <c r="A407" t="s">
        <v>362</v>
      </c>
      <c r="B407" t="str">
        <f>"13.0699"</f>
        <v>13.0699</v>
      </c>
      <c r="C407" t="str">
        <f t="shared" si="9"/>
        <v>13</v>
      </c>
    </row>
    <row r="408" spans="1:3" x14ac:dyDescent="0.25">
      <c r="A408" t="s">
        <v>363</v>
      </c>
      <c r="B408" t="str">
        <f>"13.07"</f>
        <v>13.07</v>
      </c>
      <c r="C408" t="str">
        <f t="shared" si="9"/>
        <v>13</v>
      </c>
    </row>
    <row r="409" spans="1:3" x14ac:dyDescent="0.25">
      <c r="A409" t="s">
        <v>363</v>
      </c>
      <c r="B409" t="str">
        <f>"13.0701"</f>
        <v>13.0701</v>
      </c>
      <c r="C409" t="str">
        <f t="shared" si="9"/>
        <v>13</v>
      </c>
    </row>
    <row r="410" spans="1:3" x14ac:dyDescent="0.25">
      <c r="A410" t="s">
        <v>364</v>
      </c>
      <c r="B410" t="str">
        <f>"13.09"</f>
        <v>13.09</v>
      </c>
      <c r="C410" t="str">
        <f t="shared" si="9"/>
        <v>13</v>
      </c>
    </row>
    <row r="411" spans="1:3" x14ac:dyDescent="0.25">
      <c r="A411" t="s">
        <v>364</v>
      </c>
      <c r="B411" t="str">
        <f>"13.0901"</f>
        <v>13.0901</v>
      </c>
      <c r="C411" t="str">
        <f t="shared" si="9"/>
        <v>13</v>
      </c>
    </row>
    <row r="412" spans="1:3" x14ac:dyDescent="0.25">
      <c r="A412" t="s">
        <v>365</v>
      </c>
      <c r="B412" t="str">
        <f>"13.10"</f>
        <v>13.10</v>
      </c>
      <c r="C412" t="str">
        <f t="shared" si="9"/>
        <v>13</v>
      </c>
    </row>
    <row r="413" spans="1:3" x14ac:dyDescent="0.25">
      <c r="A413" t="s">
        <v>366</v>
      </c>
      <c r="B413" t="str">
        <f>"13.1001"</f>
        <v>13.1001</v>
      </c>
      <c r="C413" t="str">
        <f t="shared" si="9"/>
        <v>13</v>
      </c>
    </row>
    <row r="414" spans="1:3" x14ac:dyDescent="0.25">
      <c r="A414" t="s">
        <v>367</v>
      </c>
      <c r="B414" t="str">
        <f>"13.1003"</f>
        <v>13.1003</v>
      </c>
      <c r="C414" t="str">
        <f t="shared" si="9"/>
        <v>13</v>
      </c>
    </row>
    <row r="415" spans="1:3" x14ac:dyDescent="0.25">
      <c r="A415" t="s">
        <v>368</v>
      </c>
      <c r="B415" t="str">
        <f>"13.1004"</f>
        <v>13.1004</v>
      </c>
      <c r="C415" t="str">
        <f t="shared" si="9"/>
        <v>13</v>
      </c>
    </row>
    <row r="416" spans="1:3" x14ac:dyDescent="0.25">
      <c r="A416" t="s">
        <v>369</v>
      </c>
      <c r="B416" t="str">
        <f>"13.1005"</f>
        <v>13.1005</v>
      </c>
      <c r="C416" t="str">
        <f t="shared" si="9"/>
        <v>13</v>
      </c>
    </row>
    <row r="417" spans="1:3" x14ac:dyDescent="0.25">
      <c r="A417" t="s">
        <v>1867</v>
      </c>
      <c r="B417" t="str">
        <f>"13.1006"</f>
        <v>13.1006</v>
      </c>
      <c r="C417" t="str">
        <f t="shared" si="9"/>
        <v>13</v>
      </c>
    </row>
    <row r="418" spans="1:3" x14ac:dyDescent="0.25">
      <c r="A418" t="s">
        <v>370</v>
      </c>
      <c r="B418" t="str">
        <f>"13.1007"</f>
        <v>13.1007</v>
      </c>
      <c r="C418" t="str">
        <f t="shared" si="9"/>
        <v>13</v>
      </c>
    </row>
    <row r="419" spans="1:3" x14ac:dyDescent="0.25">
      <c r="A419" t="s">
        <v>371</v>
      </c>
      <c r="B419" t="str">
        <f>"13.1008"</f>
        <v>13.1008</v>
      </c>
      <c r="C419" t="str">
        <f t="shared" si="9"/>
        <v>13</v>
      </c>
    </row>
    <row r="420" spans="1:3" x14ac:dyDescent="0.25">
      <c r="A420" t="s">
        <v>372</v>
      </c>
      <c r="B420" t="str">
        <f>"13.1009"</f>
        <v>13.1009</v>
      </c>
      <c r="C420" t="str">
        <f t="shared" si="9"/>
        <v>13</v>
      </c>
    </row>
    <row r="421" spans="1:3" x14ac:dyDescent="0.25">
      <c r="A421" t="s">
        <v>373</v>
      </c>
      <c r="B421" t="str">
        <f>"13.1011"</f>
        <v>13.1011</v>
      </c>
      <c r="C421" t="str">
        <f t="shared" si="9"/>
        <v>13</v>
      </c>
    </row>
    <row r="422" spans="1:3" x14ac:dyDescent="0.25">
      <c r="A422" t="s">
        <v>374</v>
      </c>
      <c r="B422" t="str">
        <f>"13.1012"</f>
        <v>13.1012</v>
      </c>
      <c r="C422" t="str">
        <f t="shared" si="9"/>
        <v>13</v>
      </c>
    </row>
    <row r="423" spans="1:3" x14ac:dyDescent="0.25">
      <c r="A423" t="s">
        <v>375</v>
      </c>
      <c r="B423" t="str">
        <f>"13.1013"</f>
        <v>13.1013</v>
      </c>
      <c r="C423" t="str">
        <f t="shared" si="9"/>
        <v>13</v>
      </c>
    </row>
    <row r="424" spans="1:3" x14ac:dyDescent="0.25">
      <c r="A424" t="s">
        <v>376</v>
      </c>
      <c r="B424" t="str">
        <f>"13.1014"</f>
        <v>13.1014</v>
      </c>
      <c r="C424" t="str">
        <f t="shared" si="9"/>
        <v>13</v>
      </c>
    </row>
    <row r="425" spans="1:3" x14ac:dyDescent="0.25">
      <c r="A425" t="s">
        <v>377</v>
      </c>
      <c r="B425" t="str">
        <f>"13.1015"</f>
        <v>13.1015</v>
      </c>
      <c r="C425" t="str">
        <f t="shared" si="9"/>
        <v>13</v>
      </c>
    </row>
    <row r="426" spans="1:3" x14ac:dyDescent="0.25">
      <c r="A426" t="s">
        <v>378</v>
      </c>
      <c r="B426" t="str">
        <f>"13.1016"</f>
        <v>13.1016</v>
      </c>
      <c r="C426" t="str">
        <f t="shared" si="9"/>
        <v>13</v>
      </c>
    </row>
    <row r="427" spans="1:3" x14ac:dyDescent="0.25">
      <c r="A427" t="s">
        <v>379</v>
      </c>
      <c r="B427" t="str">
        <f>"13.1017"</f>
        <v>13.1017</v>
      </c>
      <c r="C427" t="str">
        <f t="shared" si="9"/>
        <v>13</v>
      </c>
    </row>
    <row r="428" spans="1:3" x14ac:dyDescent="0.25">
      <c r="A428" t="s">
        <v>380</v>
      </c>
      <c r="B428" t="str">
        <f>"13.1018"</f>
        <v>13.1018</v>
      </c>
      <c r="C428" t="str">
        <f t="shared" si="9"/>
        <v>13</v>
      </c>
    </row>
    <row r="429" spans="1:3" x14ac:dyDescent="0.25">
      <c r="A429" t="s">
        <v>381</v>
      </c>
      <c r="B429" t="str">
        <f>"13.1019"</f>
        <v>13.1019</v>
      </c>
      <c r="C429" t="str">
        <f t="shared" si="9"/>
        <v>13</v>
      </c>
    </row>
    <row r="430" spans="1:3" x14ac:dyDescent="0.25">
      <c r="A430" t="s">
        <v>382</v>
      </c>
      <c r="B430" t="str">
        <f>"13.1099"</f>
        <v>13.1099</v>
      </c>
      <c r="C430" t="str">
        <f t="shared" si="9"/>
        <v>13</v>
      </c>
    </row>
    <row r="431" spans="1:3" x14ac:dyDescent="0.25">
      <c r="A431" t="s">
        <v>383</v>
      </c>
      <c r="B431" t="str">
        <f>"13.11"</f>
        <v>13.11</v>
      </c>
      <c r="C431" t="str">
        <f t="shared" si="9"/>
        <v>13</v>
      </c>
    </row>
    <row r="432" spans="1:3" x14ac:dyDescent="0.25">
      <c r="A432" t="s">
        <v>384</v>
      </c>
      <c r="B432" t="str">
        <f>"13.1101"</f>
        <v>13.1101</v>
      </c>
      <c r="C432" t="str">
        <f t="shared" si="9"/>
        <v>13</v>
      </c>
    </row>
    <row r="433" spans="1:3" x14ac:dyDescent="0.25">
      <c r="A433" t="s">
        <v>385</v>
      </c>
      <c r="B433" t="str">
        <f>"13.1102"</f>
        <v>13.1102</v>
      </c>
      <c r="C433" t="str">
        <f t="shared" si="9"/>
        <v>13</v>
      </c>
    </row>
    <row r="434" spans="1:3" x14ac:dyDescent="0.25">
      <c r="A434" t="s">
        <v>386</v>
      </c>
      <c r="B434" t="str">
        <f>"13.1199"</f>
        <v>13.1199</v>
      </c>
      <c r="C434" t="str">
        <f t="shared" si="9"/>
        <v>13</v>
      </c>
    </row>
    <row r="435" spans="1:3" x14ac:dyDescent="0.25">
      <c r="A435" t="s">
        <v>387</v>
      </c>
      <c r="B435" t="str">
        <f>"13.12"</f>
        <v>13.12</v>
      </c>
      <c r="C435" t="str">
        <f t="shared" si="9"/>
        <v>13</v>
      </c>
    </row>
    <row r="436" spans="1:3" x14ac:dyDescent="0.25">
      <c r="A436" t="s">
        <v>388</v>
      </c>
      <c r="B436" t="str">
        <f>"13.1201"</f>
        <v>13.1201</v>
      </c>
      <c r="C436" t="str">
        <f t="shared" si="9"/>
        <v>13</v>
      </c>
    </row>
    <row r="437" spans="1:3" x14ac:dyDescent="0.25">
      <c r="A437" t="s">
        <v>389</v>
      </c>
      <c r="B437" t="str">
        <f>"13.1202"</f>
        <v>13.1202</v>
      </c>
      <c r="C437" t="str">
        <f t="shared" si="9"/>
        <v>13</v>
      </c>
    </row>
    <row r="438" spans="1:3" x14ac:dyDescent="0.25">
      <c r="A438" t="s">
        <v>390</v>
      </c>
      <c r="B438" t="str">
        <f>"13.1203"</f>
        <v>13.1203</v>
      </c>
      <c r="C438" t="str">
        <f t="shared" si="9"/>
        <v>13</v>
      </c>
    </row>
    <row r="439" spans="1:3" x14ac:dyDescent="0.25">
      <c r="A439" t="s">
        <v>391</v>
      </c>
      <c r="B439" t="str">
        <f>"13.1205"</f>
        <v>13.1205</v>
      </c>
      <c r="C439" t="str">
        <f t="shared" ref="C439:C498" si="10">"13"</f>
        <v>13</v>
      </c>
    </row>
    <row r="440" spans="1:3" x14ac:dyDescent="0.25">
      <c r="A440" t="s">
        <v>392</v>
      </c>
      <c r="B440" t="str">
        <f>"13.1206"</f>
        <v>13.1206</v>
      </c>
      <c r="C440" t="str">
        <f t="shared" si="10"/>
        <v>13</v>
      </c>
    </row>
    <row r="441" spans="1:3" x14ac:dyDescent="0.25">
      <c r="A441" t="s">
        <v>393</v>
      </c>
      <c r="B441" t="str">
        <f>"13.1207"</f>
        <v>13.1207</v>
      </c>
      <c r="C441" t="str">
        <f t="shared" si="10"/>
        <v>13</v>
      </c>
    </row>
    <row r="442" spans="1:3" x14ac:dyDescent="0.25">
      <c r="A442" t="s">
        <v>394</v>
      </c>
      <c r="B442" t="str">
        <f>"13.1208"</f>
        <v>13.1208</v>
      </c>
      <c r="C442" t="str">
        <f t="shared" si="10"/>
        <v>13</v>
      </c>
    </row>
    <row r="443" spans="1:3" x14ac:dyDescent="0.25">
      <c r="A443" t="s">
        <v>395</v>
      </c>
      <c r="B443" t="str">
        <f>"13.1209"</f>
        <v>13.1209</v>
      </c>
      <c r="C443" t="str">
        <f t="shared" si="10"/>
        <v>13</v>
      </c>
    </row>
    <row r="444" spans="1:3" x14ac:dyDescent="0.25">
      <c r="A444" t="s">
        <v>396</v>
      </c>
      <c r="B444" t="str">
        <f>"13.1210"</f>
        <v>13.1210</v>
      </c>
      <c r="C444" t="str">
        <f t="shared" si="10"/>
        <v>13</v>
      </c>
    </row>
    <row r="445" spans="1:3" x14ac:dyDescent="0.25">
      <c r="A445" t="s">
        <v>1868</v>
      </c>
      <c r="B445" t="str">
        <f>"13.1211"</f>
        <v>13.1211</v>
      </c>
      <c r="C445" t="str">
        <f t="shared" si="10"/>
        <v>13</v>
      </c>
    </row>
    <row r="446" spans="1:3" x14ac:dyDescent="0.25">
      <c r="A446" t="s">
        <v>1869</v>
      </c>
      <c r="B446" t="str">
        <f>"13.1212"</f>
        <v>13.1212</v>
      </c>
      <c r="C446" t="str">
        <f t="shared" si="10"/>
        <v>13</v>
      </c>
    </row>
    <row r="447" spans="1:3" x14ac:dyDescent="0.25">
      <c r="A447" t="s">
        <v>1870</v>
      </c>
      <c r="B447" t="str">
        <f>"13.1213"</f>
        <v>13.1213</v>
      </c>
      <c r="C447" t="str">
        <f t="shared" si="10"/>
        <v>13</v>
      </c>
    </row>
    <row r="448" spans="1:3" x14ac:dyDescent="0.25">
      <c r="A448" t="s">
        <v>1871</v>
      </c>
      <c r="B448" t="str">
        <f>"13.1214"</f>
        <v>13.1214</v>
      </c>
      <c r="C448" t="str">
        <f t="shared" si="10"/>
        <v>13</v>
      </c>
    </row>
    <row r="449" spans="1:3" x14ac:dyDescent="0.25">
      <c r="A449" t="s">
        <v>397</v>
      </c>
      <c r="B449" t="str">
        <f>"13.1299"</f>
        <v>13.1299</v>
      </c>
      <c r="C449" t="str">
        <f t="shared" si="10"/>
        <v>13</v>
      </c>
    </row>
    <row r="450" spans="1:3" x14ac:dyDescent="0.25">
      <c r="A450" t="s">
        <v>398</v>
      </c>
      <c r="B450" t="str">
        <f>"13.13"</f>
        <v>13.13</v>
      </c>
      <c r="C450" t="str">
        <f t="shared" si="10"/>
        <v>13</v>
      </c>
    </row>
    <row r="451" spans="1:3" x14ac:dyDescent="0.25">
      <c r="A451" t="s">
        <v>399</v>
      </c>
      <c r="B451" t="str">
        <f>"13.1301"</f>
        <v>13.1301</v>
      </c>
      <c r="C451" t="str">
        <f t="shared" si="10"/>
        <v>13</v>
      </c>
    </row>
    <row r="452" spans="1:3" x14ac:dyDescent="0.25">
      <c r="A452" t="s">
        <v>400</v>
      </c>
      <c r="B452" t="str">
        <f>"13.1302"</f>
        <v>13.1302</v>
      </c>
      <c r="C452" t="str">
        <f t="shared" si="10"/>
        <v>13</v>
      </c>
    </row>
    <row r="453" spans="1:3" x14ac:dyDescent="0.25">
      <c r="A453" t="s">
        <v>1872</v>
      </c>
      <c r="B453" t="str">
        <f>"13.1303"</f>
        <v>13.1303</v>
      </c>
      <c r="C453" t="str">
        <f t="shared" si="10"/>
        <v>13</v>
      </c>
    </row>
    <row r="454" spans="1:3" x14ac:dyDescent="0.25">
      <c r="A454" t="s">
        <v>401</v>
      </c>
      <c r="B454" t="str">
        <f>"13.1304"</f>
        <v>13.1304</v>
      </c>
      <c r="C454" t="str">
        <f t="shared" si="10"/>
        <v>13</v>
      </c>
    </row>
    <row r="455" spans="1:3" x14ac:dyDescent="0.25">
      <c r="A455" t="s">
        <v>402</v>
      </c>
      <c r="B455" t="str">
        <f>"13.1305"</f>
        <v>13.1305</v>
      </c>
      <c r="C455" t="str">
        <f t="shared" si="10"/>
        <v>13</v>
      </c>
    </row>
    <row r="456" spans="1:3" x14ac:dyDescent="0.25">
      <c r="A456" t="s">
        <v>403</v>
      </c>
      <c r="B456" t="str">
        <f>"13.1306"</f>
        <v>13.1306</v>
      </c>
      <c r="C456" t="str">
        <f t="shared" si="10"/>
        <v>13</v>
      </c>
    </row>
    <row r="457" spans="1:3" x14ac:dyDescent="0.25">
      <c r="A457" t="s">
        <v>404</v>
      </c>
      <c r="B457" t="str">
        <f>"13.1307"</f>
        <v>13.1307</v>
      </c>
      <c r="C457" t="str">
        <f t="shared" si="10"/>
        <v>13</v>
      </c>
    </row>
    <row r="458" spans="1:3" x14ac:dyDescent="0.25">
      <c r="A458" t="s">
        <v>405</v>
      </c>
      <c r="B458" t="str">
        <f>"13.1308"</f>
        <v>13.1308</v>
      </c>
      <c r="C458" t="str">
        <f t="shared" si="10"/>
        <v>13</v>
      </c>
    </row>
    <row r="459" spans="1:3" x14ac:dyDescent="0.25">
      <c r="A459" t="s">
        <v>406</v>
      </c>
      <c r="B459" t="str">
        <f>"13.1309"</f>
        <v>13.1309</v>
      </c>
      <c r="C459" t="str">
        <f t="shared" si="10"/>
        <v>13</v>
      </c>
    </row>
    <row r="460" spans="1:3" x14ac:dyDescent="0.25">
      <c r="A460" t="s">
        <v>407</v>
      </c>
      <c r="B460" t="str">
        <f>"13.1310"</f>
        <v>13.1310</v>
      </c>
      <c r="C460" t="str">
        <f t="shared" si="10"/>
        <v>13</v>
      </c>
    </row>
    <row r="461" spans="1:3" x14ac:dyDescent="0.25">
      <c r="A461" t="s">
        <v>408</v>
      </c>
      <c r="B461" t="str">
        <f>"13.1311"</f>
        <v>13.1311</v>
      </c>
      <c r="C461" t="str">
        <f t="shared" si="10"/>
        <v>13</v>
      </c>
    </row>
    <row r="462" spans="1:3" x14ac:dyDescent="0.25">
      <c r="A462" t="s">
        <v>409</v>
      </c>
      <c r="B462" t="str">
        <f>"13.1312"</f>
        <v>13.1312</v>
      </c>
      <c r="C462" t="str">
        <f t="shared" si="10"/>
        <v>13</v>
      </c>
    </row>
    <row r="463" spans="1:3" x14ac:dyDescent="0.25">
      <c r="A463" t="s">
        <v>410</v>
      </c>
      <c r="B463" t="str">
        <f>"13.1314"</f>
        <v>13.1314</v>
      </c>
      <c r="C463" t="str">
        <f t="shared" si="10"/>
        <v>13</v>
      </c>
    </row>
    <row r="464" spans="1:3" x14ac:dyDescent="0.25">
      <c r="A464" t="s">
        <v>411</v>
      </c>
      <c r="B464" t="str">
        <f>"13.1315"</f>
        <v>13.1315</v>
      </c>
      <c r="C464" t="str">
        <f t="shared" si="10"/>
        <v>13</v>
      </c>
    </row>
    <row r="465" spans="1:3" x14ac:dyDescent="0.25">
      <c r="A465" t="s">
        <v>412</v>
      </c>
      <c r="B465" t="str">
        <f>"13.1316"</f>
        <v>13.1316</v>
      </c>
      <c r="C465" t="str">
        <f t="shared" si="10"/>
        <v>13</v>
      </c>
    </row>
    <row r="466" spans="1:3" x14ac:dyDescent="0.25">
      <c r="A466" t="s">
        <v>413</v>
      </c>
      <c r="B466" t="str">
        <f>"13.1317"</f>
        <v>13.1317</v>
      </c>
      <c r="C466" t="str">
        <f t="shared" si="10"/>
        <v>13</v>
      </c>
    </row>
    <row r="467" spans="1:3" x14ac:dyDescent="0.25">
      <c r="A467" t="s">
        <v>414</v>
      </c>
      <c r="B467" t="str">
        <f>"13.1318"</f>
        <v>13.1318</v>
      </c>
      <c r="C467" t="str">
        <f t="shared" si="10"/>
        <v>13</v>
      </c>
    </row>
    <row r="468" spans="1:3" x14ac:dyDescent="0.25">
      <c r="A468" t="s">
        <v>415</v>
      </c>
      <c r="B468" t="str">
        <f>"13.1319"</f>
        <v>13.1319</v>
      </c>
      <c r="C468" t="str">
        <f t="shared" si="10"/>
        <v>13</v>
      </c>
    </row>
    <row r="469" spans="1:3" x14ac:dyDescent="0.25">
      <c r="A469" t="s">
        <v>416</v>
      </c>
      <c r="B469" t="str">
        <f>"13.1320"</f>
        <v>13.1320</v>
      </c>
      <c r="C469" t="str">
        <f t="shared" si="10"/>
        <v>13</v>
      </c>
    </row>
    <row r="470" spans="1:3" x14ac:dyDescent="0.25">
      <c r="A470" t="s">
        <v>417</v>
      </c>
      <c r="B470" t="str">
        <f>"13.1321"</f>
        <v>13.1321</v>
      </c>
      <c r="C470" t="str">
        <f t="shared" si="10"/>
        <v>13</v>
      </c>
    </row>
    <row r="471" spans="1:3" x14ac:dyDescent="0.25">
      <c r="A471" t="s">
        <v>418</v>
      </c>
      <c r="B471" t="str">
        <f>"13.1322"</f>
        <v>13.1322</v>
      </c>
      <c r="C471" t="str">
        <f t="shared" si="10"/>
        <v>13</v>
      </c>
    </row>
    <row r="472" spans="1:3" x14ac:dyDescent="0.25">
      <c r="A472" t="s">
        <v>419</v>
      </c>
      <c r="B472" t="str">
        <f>"13.1323"</f>
        <v>13.1323</v>
      </c>
      <c r="C472" t="str">
        <f t="shared" si="10"/>
        <v>13</v>
      </c>
    </row>
    <row r="473" spans="1:3" x14ac:dyDescent="0.25">
      <c r="A473" t="s">
        <v>420</v>
      </c>
      <c r="B473" t="str">
        <f>"13.1324"</f>
        <v>13.1324</v>
      </c>
      <c r="C473" t="str">
        <f t="shared" si="10"/>
        <v>13</v>
      </c>
    </row>
    <row r="474" spans="1:3" x14ac:dyDescent="0.25">
      <c r="A474" t="s">
        <v>421</v>
      </c>
      <c r="B474" t="str">
        <f>"13.1325"</f>
        <v>13.1325</v>
      </c>
      <c r="C474" t="str">
        <f t="shared" si="10"/>
        <v>13</v>
      </c>
    </row>
    <row r="475" spans="1:3" x14ac:dyDescent="0.25">
      <c r="A475" t="s">
        <v>422</v>
      </c>
      <c r="B475" t="str">
        <f>"13.1326"</f>
        <v>13.1326</v>
      </c>
      <c r="C475" t="str">
        <f t="shared" si="10"/>
        <v>13</v>
      </c>
    </row>
    <row r="476" spans="1:3" x14ac:dyDescent="0.25">
      <c r="A476" t="s">
        <v>423</v>
      </c>
      <c r="B476" t="str">
        <f>"13.1327"</f>
        <v>13.1327</v>
      </c>
      <c r="C476" t="str">
        <f t="shared" si="10"/>
        <v>13</v>
      </c>
    </row>
    <row r="477" spans="1:3" x14ac:dyDescent="0.25">
      <c r="A477" t="s">
        <v>424</v>
      </c>
      <c r="B477" t="str">
        <f>"13.1328"</f>
        <v>13.1328</v>
      </c>
      <c r="C477" t="str">
        <f t="shared" si="10"/>
        <v>13</v>
      </c>
    </row>
    <row r="478" spans="1:3" x14ac:dyDescent="0.25">
      <c r="A478" t="s">
        <v>425</v>
      </c>
      <c r="B478" t="str">
        <f>"13.1329"</f>
        <v>13.1329</v>
      </c>
      <c r="C478" t="str">
        <f t="shared" si="10"/>
        <v>13</v>
      </c>
    </row>
    <row r="479" spans="1:3" x14ac:dyDescent="0.25">
      <c r="A479" t="s">
        <v>426</v>
      </c>
      <c r="B479" t="str">
        <f>"13.1330"</f>
        <v>13.1330</v>
      </c>
      <c r="C479" t="str">
        <f t="shared" si="10"/>
        <v>13</v>
      </c>
    </row>
    <row r="480" spans="1:3" x14ac:dyDescent="0.25">
      <c r="A480" t="s">
        <v>427</v>
      </c>
      <c r="B480" t="str">
        <f>"13.1331"</f>
        <v>13.1331</v>
      </c>
      <c r="C480" t="str">
        <f t="shared" si="10"/>
        <v>13</v>
      </c>
    </row>
    <row r="481" spans="1:3" x14ac:dyDescent="0.25">
      <c r="A481" t="s">
        <v>428</v>
      </c>
      <c r="B481" t="str">
        <f>"13.1332"</f>
        <v>13.1332</v>
      </c>
      <c r="C481" t="str">
        <f t="shared" si="10"/>
        <v>13</v>
      </c>
    </row>
    <row r="482" spans="1:3" x14ac:dyDescent="0.25">
      <c r="A482" t="s">
        <v>429</v>
      </c>
      <c r="B482" t="str">
        <f>"13.1333"</f>
        <v>13.1333</v>
      </c>
      <c r="C482" t="str">
        <f t="shared" si="10"/>
        <v>13</v>
      </c>
    </row>
    <row r="483" spans="1:3" x14ac:dyDescent="0.25">
      <c r="A483" t="s">
        <v>430</v>
      </c>
      <c r="B483" t="str">
        <f>"13.1334"</f>
        <v>13.1334</v>
      </c>
      <c r="C483" t="str">
        <f t="shared" si="10"/>
        <v>13</v>
      </c>
    </row>
    <row r="484" spans="1:3" x14ac:dyDescent="0.25">
      <c r="A484" t="s">
        <v>431</v>
      </c>
      <c r="B484" t="str">
        <f>"13.1335"</f>
        <v>13.1335</v>
      </c>
      <c r="C484" t="str">
        <f t="shared" si="10"/>
        <v>13</v>
      </c>
    </row>
    <row r="485" spans="1:3" x14ac:dyDescent="0.25">
      <c r="A485" t="s">
        <v>432</v>
      </c>
      <c r="B485" t="str">
        <f>"13.1337"</f>
        <v>13.1337</v>
      </c>
      <c r="C485" t="str">
        <f t="shared" si="10"/>
        <v>13</v>
      </c>
    </row>
    <row r="486" spans="1:3" x14ac:dyDescent="0.25">
      <c r="A486" t="s">
        <v>433</v>
      </c>
      <c r="B486" t="str">
        <f>"13.1338"</f>
        <v>13.1338</v>
      </c>
      <c r="C486" t="str">
        <f t="shared" si="10"/>
        <v>13</v>
      </c>
    </row>
    <row r="487" spans="1:3" x14ac:dyDescent="0.25">
      <c r="A487" t="s">
        <v>1873</v>
      </c>
      <c r="B487" t="str">
        <f>"13.1339"</f>
        <v>13.1339</v>
      </c>
      <c r="C487" t="str">
        <f t="shared" si="10"/>
        <v>13</v>
      </c>
    </row>
    <row r="488" spans="1:3" x14ac:dyDescent="0.25">
      <c r="A488" t="s">
        <v>434</v>
      </c>
      <c r="B488" t="str">
        <f>"13.1399"</f>
        <v>13.1399</v>
      </c>
      <c r="C488" t="str">
        <f t="shared" si="10"/>
        <v>13</v>
      </c>
    </row>
    <row r="489" spans="1:3" x14ac:dyDescent="0.25">
      <c r="A489" t="s">
        <v>435</v>
      </c>
      <c r="B489" t="str">
        <f>"13.14"</f>
        <v>13.14</v>
      </c>
      <c r="C489" t="str">
        <f t="shared" si="10"/>
        <v>13</v>
      </c>
    </row>
    <row r="490" spans="1:3" x14ac:dyDescent="0.25">
      <c r="A490" t="s">
        <v>436</v>
      </c>
      <c r="B490" t="str">
        <f>"13.1401"</f>
        <v>13.1401</v>
      </c>
      <c r="C490" t="str">
        <f t="shared" si="10"/>
        <v>13</v>
      </c>
    </row>
    <row r="491" spans="1:3" x14ac:dyDescent="0.25">
      <c r="A491" t="s">
        <v>437</v>
      </c>
      <c r="B491" t="str">
        <f>"13.1402"</f>
        <v>13.1402</v>
      </c>
      <c r="C491" t="str">
        <f t="shared" si="10"/>
        <v>13</v>
      </c>
    </row>
    <row r="492" spans="1:3" x14ac:dyDescent="0.25">
      <c r="A492" t="s">
        <v>438</v>
      </c>
      <c r="B492" t="str">
        <f>"13.1499"</f>
        <v>13.1499</v>
      </c>
      <c r="C492" t="str">
        <f t="shared" si="10"/>
        <v>13</v>
      </c>
    </row>
    <row r="493" spans="1:3" x14ac:dyDescent="0.25">
      <c r="A493" t="s">
        <v>439</v>
      </c>
      <c r="B493" t="str">
        <f>"13.15"</f>
        <v>13.15</v>
      </c>
      <c r="C493" t="str">
        <f t="shared" si="10"/>
        <v>13</v>
      </c>
    </row>
    <row r="494" spans="1:3" x14ac:dyDescent="0.25">
      <c r="A494" t="s">
        <v>440</v>
      </c>
      <c r="B494" t="str">
        <f>"13.1501"</f>
        <v>13.1501</v>
      </c>
      <c r="C494" t="str">
        <f t="shared" si="10"/>
        <v>13</v>
      </c>
    </row>
    <row r="495" spans="1:3" x14ac:dyDescent="0.25">
      <c r="A495" t="s">
        <v>441</v>
      </c>
      <c r="B495" t="str">
        <f>"13.1502"</f>
        <v>13.1502</v>
      </c>
      <c r="C495" t="str">
        <f t="shared" si="10"/>
        <v>13</v>
      </c>
    </row>
    <row r="496" spans="1:3" x14ac:dyDescent="0.25">
      <c r="A496" t="s">
        <v>442</v>
      </c>
      <c r="B496" t="str">
        <f>"13.1599"</f>
        <v>13.1599</v>
      </c>
      <c r="C496" t="str">
        <f t="shared" si="10"/>
        <v>13</v>
      </c>
    </row>
    <row r="497" spans="1:3" x14ac:dyDescent="0.25">
      <c r="A497" t="s">
        <v>443</v>
      </c>
      <c r="B497" t="str">
        <f>"13.99"</f>
        <v>13.99</v>
      </c>
      <c r="C497" t="str">
        <f t="shared" si="10"/>
        <v>13</v>
      </c>
    </row>
    <row r="498" spans="1:3" x14ac:dyDescent="0.25">
      <c r="A498" t="s">
        <v>443</v>
      </c>
      <c r="B498" t="str">
        <f>"13.9999"</f>
        <v>13.9999</v>
      </c>
      <c r="C498" t="str">
        <f t="shared" si="10"/>
        <v>13</v>
      </c>
    </row>
    <row r="499" spans="1:3" x14ac:dyDescent="0.25">
      <c r="A499" t="s">
        <v>444</v>
      </c>
      <c r="B499" t="str">
        <f>"14"</f>
        <v>14</v>
      </c>
      <c r="C499" t="str">
        <f>"14"</f>
        <v>14</v>
      </c>
    </row>
    <row r="500" spans="1:3" x14ac:dyDescent="0.25">
      <c r="A500" t="s">
        <v>445</v>
      </c>
      <c r="B500" t="str">
        <f>"14.01"</f>
        <v>14.01</v>
      </c>
      <c r="C500" t="str">
        <f t="shared" ref="C500:C563" si="11">"14"</f>
        <v>14</v>
      </c>
    </row>
    <row r="501" spans="1:3" x14ac:dyDescent="0.25">
      <c r="A501" t="s">
        <v>445</v>
      </c>
      <c r="B501" t="str">
        <f>"14.0101"</f>
        <v>14.0101</v>
      </c>
      <c r="C501" t="str">
        <f t="shared" si="11"/>
        <v>14</v>
      </c>
    </row>
    <row r="502" spans="1:3" x14ac:dyDescent="0.25">
      <c r="A502" t="s">
        <v>446</v>
      </c>
      <c r="B502" t="str">
        <f>"14.0102"</f>
        <v>14.0102</v>
      </c>
      <c r="C502" t="str">
        <f t="shared" si="11"/>
        <v>14</v>
      </c>
    </row>
    <row r="503" spans="1:3" x14ac:dyDescent="0.25">
      <c r="A503" t="s">
        <v>1874</v>
      </c>
      <c r="B503" t="str">
        <f>"14.0103"</f>
        <v>14.0103</v>
      </c>
      <c r="C503" t="str">
        <f t="shared" si="11"/>
        <v>14</v>
      </c>
    </row>
    <row r="504" spans="1:3" x14ac:dyDescent="0.25">
      <c r="A504" t="s">
        <v>1875</v>
      </c>
      <c r="B504" t="str">
        <f>"14.02"</f>
        <v>14.02</v>
      </c>
      <c r="C504" t="str">
        <f t="shared" si="11"/>
        <v>14</v>
      </c>
    </row>
    <row r="505" spans="1:3" x14ac:dyDescent="0.25">
      <c r="A505" t="s">
        <v>1876</v>
      </c>
      <c r="B505" t="str">
        <f>"14.0201"</f>
        <v>14.0201</v>
      </c>
      <c r="C505" t="str">
        <f t="shared" si="11"/>
        <v>14</v>
      </c>
    </row>
    <row r="506" spans="1:3" x14ac:dyDescent="0.25">
      <c r="A506" t="s">
        <v>1877</v>
      </c>
      <c r="B506" t="str">
        <f>"14.0202"</f>
        <v>14.0202</v>
      </c>
      <c r="C506" t="str">
        <f t="shared" si="11"/>
        <v>14</v>
      </c>
    </row>
    <row r="507" spans="1:3" x14ac:dyDescent="0.25">
      <c r="A507" t="s">
        <v>1878</v>
      </c>
      <c r="B507" t="str">
        <f>"14.0299"</f>
        <v>14.0299</v>
      </c>
      <c r="C507" t="str">
        <f t="shared" si="11"/>
        <v>14</v>
      </c>
    </row>
    <row r="508" spans="1:3" x14ac:dyDescent="0.25">
      <c r="A508" t="s">
        <v>447</v>
      </c>
      <c r="B508" t="str">
        <f>"14.03"</f>
        <v>14.03</v>
      </c>
      <c r="C508" t="str">
        <f t="shared" si="11"/>
        <v>14</v>
      </c>
    </row>
    <row r="509" spans="1:3" x14ac:dyDescent="0.25">
      <c r="A509" t="s">
        <v>447</v>
      </c>
      <c r="B509" t="str">
        <f>"14.0301"</f>
        <v>14.0301</v>
      </c>
      <c r="C509" t="str">
        <f t="shared" si="11"/>
        <v>14</v>
      </c>
    </row>
    <row r="510" spans="1:3" x14ac:dyDescent="0.25">
      <c r="A510" t="s">
        <v>448</v>
      </c>
      <c r="B510" t="str">
        <f>"14.04"</f>
        <v>14.04</v>
      </c>
      <c r="C510" t="str">
        <f t="shared" si="11"/>
        <v>14</v>
      </c>
    </row>
    <row r="511" spans="1:3" x14ac:dyDescent="0.25">
      <c r="A511" t="s">
        <v>448</v>
      </c>
      <c r="B511" t="str">
        <f>"14.0401"</f>
        <v>14.0401</v>
      </c>
      <c r="C511" t="str">
        <f t="shared" si="11"/>
        <v>14</v>
      </c>
    </row>
    <row r="512" spans="1:3" x14ac:dyDescent="0.25">
      <c r="A512" t="s">
        <v>449</v>
      </c>
      <c r="B512" t="str">
        <f>"14.05"</f>
        <v>14.05</v>
      </c>
      <c r="C512" t="str">
        <f t="shared" si="11"/>
        <v>14</v>
      </c>
    </row>
    <row r="513" spans="1:3" x14ac:dyDescent="0.25">
      <c r="A513" t="s">
        <v>1879</v>
      </c>
      <c r="B513" t="str">
        <f>"14.0501"</f>
        <v>14.0501</v>
      </c>
      <c r="C513" t="str">
        <f t="shared" si="11"/>
        <v>14</v>
      </c>
    </row>
    <row r="514" spans="1:3" x14ac:dyDescent="0.25">
      <c r="A514" t="s">
        <v>450</v>
      </c>
      <c r="B514" t="str">
        <f>"14.06"</f>
        <v>14.06</v>
      </c>
      <c r="C514" t="str">
        <f t="shared" si="11"/>
        <v>14</v>
      </c>
    </row>
    <row r="515" spans="1:3" x14ac:dyDescent="0.25">
      <c r="A515" t="s">
        <v>450</v>
      </c>
      <c r="B515" t="str">
        <f>"14.0601"</f>
        <v>14.0601</v>
      </c>
      <c r="C515" t="str">
        <f t="shared" si="11"/>
        <v>14</v>
      </c>
    </row>
    <row r="516" spans="1:3" x14ac:dyDescent="0.25">
      <c r="A516" t="s">
        <v>451</v>
      </c>
      <c r="B516" t="str">
        <f>"14.07"</f>
        <v>14.07</v>
      </c>
      <c r="C516" t="str">
        <f t="shared" si="11"/>
        <v>14</v>
      </c>
    </row>
    <row r="517" spans="1:3" x14ac:dyDescent="0.25">
      <c r="A517" t="s">
        <v>451</v>
      </c>
      <c r="B517" t="str">
        <f>"14.0701"</f>
        <v>14.0701</v>
      </c>
      <c r="C517" t="str">
        <f t="shared" si="11"/>
        <v>14</v>
      </c>
    </row>
    <row r="518" spans="1:3" x14ac:dyDescent="0.25">
      <c r="A518" t="s">
        <v>452</v>
      </c>
      <c r="B518" t="str">
        <f>"14.0702"</f>
        <v>14.0702</v>
      </c>
      <c r="C518" t="str">
        <f t="shared" si="11"/>
        <v>14</v>
      </c>
    </row>
    <row r="519" spans="1:3" x14ac:dyDescent="0.25">
      <c r="A519" t="s">
        <v>453</v>
      </c>
      <c r="B519" t="str">
        <f>"14.0799"</f>
        <v>14.0799</v>
      </c>
      <c r="C519" t="str">
        <f t="shared" si="11"/>
        <v>14</v>
      </c>
    </row>
    <row r="520" spans="1:3" x14ac:dyDescent="0.25">
      <c r="A520" t="s">
        <v>454</v>
      </c>
      <c r="B520" t="str">
        <f>"14.08"</f>
        <v>14.08</v>
      </c>
      <c r="C520" t="str">
        <f t="shared" si="11"/>
        <v>14</v>
      </c>
    </row>
    <row r="521" spans="1:3" x14ac:dyDescent="0.25">
      <c r="A521" t="s">
        <v>455</v>
      </c>
      <c r="B521" t="str">
        <f>"14.0801"</f>
        <v>14.0801</v>
      </c>
      <c r="C521" t="str">
        <f t="shared" si="11"/>
        <v>14</v>
      </c>
    </row>
    <row r="522" spans="1:3" x14ac:dyDescent="0.25">
      <c r="A522" t="s">
        <v>456</v>
      </c>
      <c r="B522" t="str">
        <f>"14.0802"</f>
        <v>14.0802</v>
      </c>
      <c r="C522" t="str">
        <f t="shared" si="11"/>
        <v>14</v>
      </c>
    </row>
    <row r="523" spans="1:3" x14ac:dyDescent="0.25">
      <c r="A523" t="s">
        <v>457</v>
      </c>
      <c r="B523" t="str">
        <f>"14.0803"</f>
        <v>14.0803</v>
      </c>
      <c r="C523" t="str">
        <f t="shared" si="11"/>
        <v>14</v>
      </c>
    </row>
    <row r="524" spans="1:3" x14ac:dyDescent="0.25">
      <c r="A524" t="s">
        <v>458</v>
      </c>
      <c r="B524" t="str">
        <f>"14.0804"</f>
        <v>14.0804</v>
      </c>
      <c r="C524" t="str">
        <f t="shared" si="11"/>
        <v>14</v>
      </c>
    </row>
    <row r="525" spans="1:3" x14ac:dyDescent="0.25">
      <c r="A525" t="s">
        <v>459</v>
      </c>
      <c r="B525" t="str">
        <f>"14.0805"</f>
        <v>14.0805</v>
      </c>
      <c r="C525" t="str">
        <f t="shared" si="11"/>
        <v>14</v>
      </c>
    </row>
    <row r="526" spans="1:3" x14ac:dyDescent="0.25">
      <c r="A526" t="s">
        <v>460</v>
      </c>
      <c r="B526" t="str">
        <f>"14.0899"</f>
        <v>14.0899</v>
      </c>
      <c r="C526" t="str">
        <f t="shared" si="11"/>
        <v>14</v>
      </c>
    </row>
    <row r="527" spans="1:3" x14ac:dyDescent="0.25">
      <c r="A527" t="s">
        <v>461</v>
      </c>
      <c r="B527" t="str">
        <f>"14.09"</f>
        <v>14.09</v>
      </c>
      <c r="C527" t="str">
        <f t="shared" si="11"/>
        <v>14</v>
      </c>
    </row>
    <row r="528" spans="1:3" x14ac:dyDescent="0.25">
      <c r="A528" t="s">
        <v>462</v>
      </c>
      <c r="B528" t="str">
        <f>"14.0901"</f>
        <v>14.0901</v>
      </c>
      <c r="C528" t="str">
        <f t="shared" si="11"/>
        <v>14</v>
      </c>
    </row>
    <row r="529" spans="1:3" x14ac:dyDescent="0.25">
      <c r="A529" t="s">
        <v>463</v>
      </c>
      <c r="B529" t="str">
        <f>"14.0902"</f>
        <v>14.0902</v>
      </c>
      <c r="C529" t="str">
        <f t="shared" si="11"/>
        <v>14</v>
      </c>
    </row>
    <row r="530" spans="1:3" x14ac:dyDescent="0.25">
      <c r="A530" t="s">
        <v>464</v>
      </c>
      <c r="B530" t="str">
        <f>"14.0903"</f>
        <v>14.0903</v>
      </c>
      <c r="C530" t="str">
        <f t="shared" si="11"/>
        <v>14</v>
      </c>
    </row>
    <row r="531" spans="1:3" x14ac:dyDescent="0.25">
      <c r="A531" t="s">
        <v>465</v>
      </c>
      <c r="B531" t="str">
        <f>"14.0999"</f>
        <v>14.0999</v>
      </c>
      <c r="C531" t="str">
        <f t="shared" si="11"/>
        <v>14</v>
      </c>
    </row>
    <row r="532" spans="1:3" x14ac:dyDescent="0.25">
      <c r="A532" t="s">
        <v>1880</v>
      </c>
      <c r="B532" t="str">
        <f>"14.10"</f>
        <v>14.10</v>
      </c>
      <c r="C532" t="str">
        <f t="shared" si="11"/>
        <v>14</v>
      </c>
    </row>
    <row r="533" spans="1:3" x14ac:dyDescent="0.25">
      <c r="A533" t="s">
        <v>1881</v>
      </c>
      <c r="B533" t="str">
        <f>"14.1001"</f>
        <v>14.1001</v>
      </c>
      <c r="C533" t="str">
        <f t="shared" si="11"/>
        <v>14</v>
      </c>
    </row>
    <row r="534" spans="1:3" x14ac:dyDescent="0.25">
      <c r="A534" t="s">
        <v>466</v>
      </c>
      <c r="B534" t="str">
        <f>"14.1003"</f>
        <v>14.1003</v>
      </c>
      <c r="C534" t="str">
        <f t="shared" si="11"/>
        <v>14</v>
      </c>
    </row>
    <row r="535" spans="1:3" x14ac:dyDescent="0.25">
      <c r="A535" t="s">
        <v>467</v>
      </c>
      <c r="B535" t="str">
        <f>"14.1004"</f>
        <v>14.1004</v>
      </c>
      <c r="C535" t="str">
        <f t="shared" si="11"/>
        <v>14</v>
      </c>
    </row>
    <row r="536" spans="1:3" x14ac:dyDescent="0.25">
      <c r="A536" t="s">
        <v>1882</v>
      </c>
      <c r="B536" t="str">
        <f>"14.1099"</f>
        <v>14.1099</v>
      </c>
      <c r="C536" t="str">
        <f t="shared" si="11"/>
        <v>14</v>
      </c>
    </row>
    <row r="537" spans="1:3" x14ac:dyDescent="0.25">
      <c r="A537" t="s">
        <v>468</v>
      </c>
      <c r="B537" t="str">
        <f>"14.11"</f>
        <v>14.11</v>
      </c>
      <c r="C537" t="str">
        <f t="shared" si="11"/>
        <v>14</v>
      </c>
    </row>
    <row r="538" spans="1:3" x14ac:dyDescent="0.25">
      <c r="A538" t="s">
        <v>468</v>
      </c>
      <c r="B538" t="str">
        <f>"14.1101"</f>
        <v>14.1101</v>
      </c>
      <c r="C538" t="str">
        <f t="shared" si="11"/>
        <v>14</v>
      </c>
    </row>
    <row r="539" spans="1:3" x14ac:dyDescent="0.25">
      <c r="A539" t="s">
        <v>469</v>
      </c>
      <c r="B539" t="str">
        <f>"14.12"</f>
        <v>14.12</v>
      </c>
      <c r="C539" t="str">
        <f t="shared" si="11"/>
        <v>14</v>
      </c>
    </row>
    <row r="540" spans="1:3" x14ac:dyDescent="0.25">
      <c r="A540" t="s">
        <v>1883</v>
      </c>
      <c r="B540" t="str">
        <f>"14.1201"</f>
        <v>14.1201</v>
      </c>
      <c r="C540" t="str">
        <f t="shared" si="11"/>
        <v>14</v>
      </c>
    </row>
    <row r="541" spans="1:3" x14ac:dyDescent="0.25">
      <c r="A541" t="s">
        <v>470</v>
      </c>
      <c r="B541" t="str">
        <f>"14.13"</f>
        <v>14.13</v>
      </c>
      <c r="C541" t="str">
        <f t="shared" si="11"/>
        <v>14</v>
      </c>
    </row>
    <row r="542" spans="1:3" x14ac:dyDescent="0.25">
      <c r="A542" t="s">
        <v>470</v>
      </c>
      <c r="B542" t="str">
        <f>"14.1301"</f>
        <v>14.1301</v>
      </c>
      <c r="C542" t="str">
        <f t="shared" si="11"/>
        <v>14</v>
      </c>
    </row>
    <row r="543" spans="1:3" x14ac:dyDescent="0.25">
      <c r="A543" t="s">
        <v>471</v>
      </c>
      <c r="B543" t="str">
        <f>"14.14"</f>
        <v>14.14</v>
      </c>
      <c r="C543" t="str">
        <f t="shared" si="11"/>
        <v>14</v>
      </c>
    </row>
    <row r="544" spans="1:3" x14ac:dyDescent="0.25">
      <c r="A544" t="s">
        <v>471</v>
      </c>
      <c r="B544" t="str">
        <f>"14.1401"</f>
        <v>14.1401</v>
      </c>
      <c r="C544" t="str">
        <f t="shared" si="11"/>
        <v>14</v>
      </c>
    </row>
    <row r="545" spans="1:3" x14ac:dyDescent="0.25">
      <c r="A545" t="s">
        <v>1884</v>
      </c>
      <c r="B545" t="str">
        <f>"14.18"</f>
        <v>14.18</v>
      </c>
      <c r="C545" t="str">
        <f t="shared" si="11"/>
        <v>14</v>
      </c>
    </row>
    <row r="546" spans="1:3" x14ac:dyDescent="0.25">
      <c r="A546" t="s">
        <v>1884</v>
      </c>
      <c r="B546" t="str">
        <f>"14.1801"</f>
        <v>14.1801</v>
      </c>
      <c r="C546" t="str">
        <f t="shared" si="11"/>
        <v>14</v>
      </c>
    </row>
    <row r="547" spans="1:3" x14ac:dyDescent="0.25">
      <c r="A547" t="s">
        <v>472</v>
      </c>
      <c r="B547" t="str">
        <f>"14.19"</f>
        <v>14.19</v>
      </c>
      <c r="C547" t="str">
        <f t="shared" si="11"/>
        <v>14</v>
      </c>
    </row>
    <row r="548" spans="1:3" x14ac:dyDescent="0.25">
      <c r="A548" t="s">
        <v>472</v>
      </c>
      <c r="B548" t="str">
        <f>"14.1901"</f>
        <v>14.1901</v>
      </c>
      <c r="C548" t="str">
        <f t="shared" si="11"/>
        <v>14</v>
      </c>
    </row>
    <row r="549" spans="1:3" x14ac:dyDescent="0.25">
      <c r="A549" t="s">
        <v>473</v>
      </c>
      <c r="B549" t="str">
        <f>"14.20"</f>
        <v>14.20</v>
      </c>
      <c r="C549" t="str">
        <f t="shared" si="11"/>
        <v>14</v>
      </c>
    </row>
    <row r="550" spans="1:3" x14ac:dyDescent="0.25">
      <c r="A550" t="s">
        <v>473</v>
      </c>
      <c r="B550" t="str">
        <f>"14.2001"</f>
        <v>14.2001</v>
      </c>
      <c r="C550" t="str">
        <f t="shared" si="11"/>
        <v>14</v>
      </c>
    </row>
    <row r="551" spans="1:3" x14ac:dyDescent="0.25">
      <c r="A551" t="s">
        <v>474</v>
      </c>
      <c r="B551" t="str">
        <f>"14.21"</f>
        <v>14.21</v>
      </c>
      <c r="C551" t="str">
        <f t="shared" si="11"/>
        <v>14</v>
      </c>
    </row>
    <row r="552" spans="1:3" x14ac:dyDescent="0.25">
      <c r="A552" t="s">
        <v>474</v>
      </c>
      <c r="B552" t="str">
        <f>"14.2101"</f>
        <v>14.2101</v>
      </c>
      <c r="C552" t="str">
        <f t="shared" si="11"/>
        <v>14</v>
      </c>
    </row>
    <row r="553" spans="1:3" x14ac:dyDescent="0.25">
      <c r="A553" t="s">
        <v>475</v>
      </c>
      <c r="B553" t="str">
        <f>"14.22"</f>
        <v>14.22</v>
      </c>
      <c r="C553" t="str">
        <f t="shared" si="11"/>
        <v>14</v>
      </c>
    </row>
    <row r="554" spans="1:3" x14ac:dyDescent="0.25">
      <c r="A554" t="s">
        <v>475</v>
      </c>
      <c r="B554" t="str">
        <f>"14.2201"</f>
        <v>14.2201</v>
      </c>
      <c r="C554" t="str">
        <f t="shared" si="11"/>
        <v>14</v>
      </c>
    </row>
    <row r="555" spans="1:3" x14ac:dyDescent="0.25">
      <c r="A555" t="s">
        <v>476</v>
      </c>
      <c r="B555" t="str">
        <f>"14.23"</f>
        <v>14.23</v>
      </c>
      <c r="C555" t="str">
        <f t="shared" si="11"/>
        <v>14</v>
      </c>
    </row>
    <row r="556" spans="1:3" x14ac:dyDescent="0.25">
      <c r="A556" t="s">
        <v>476</v>
      </c>
      <c r="B556" t="str">
        <f>"14.2301"</f>
        <v>14.2301</v>
      </c>
      <c r="C556" t="str">
        <f t="shared" si="11"/>
        <v>14</v>
      </c>
    </row>
    <row r="557" spans="1:3" x14ac:dyDescent="0.25">
      <c r="A557" t="s">
        <v>477</v>
      </c>
      <c r="B557" t="str">
        <f>"14.24"</f>
        <v>14.24</v>
      </c>
      <c r="C557" t="str">
        <f t="shared" si="11"/>
        <v>14</v>
      </c>
    </row>
    <row r="558" spans="1:3" x14ac:dyDescent="0.25">
      <c r="A558" t="s">
        <v>477</v>
      </c>
      <c r="B558" t="str">
        <f>"14.2401"</f>
        <v>14.2401</v>
      </c>
      <c r="C558" t="str">
        <f t="shared" si="11"/>
        <v>14</v>
      </c>
    </row>
    <row r="559" spans="1:3" x14ac:dyDescent="0.25">
      <c r="A559" t="s">
        <v>478</v>
      </c>
      <c r="B559" t="str">
        <f>"14.25"</f>
        <v>14.25</v>
      </c>
      <c r="C559" t="str">
        <f t="shared" si="11"/>
        <v>14</v>
      </c>
    </row>
    <row r="560" spans="1:3" x14ac:dyDescent="0.25">
      <c r="A560" t="s">
        <v>478</v>
      </c>
      <c r="B560" t="str">
        <f>"14.2501"</f>
        <v>14.2501</v>
      </c>
      <c r="C560" t="str">
        <f t="shared" si="11"/>
        <v>14</v>
      </c>
    </row>
    <row r="561" spans="1:3" x14ac:dyDescent="0.25">
      <c r="A561" t="s">
        <v>479</v>
      </c>
      <c r="B561" t="str">
        <f>"14.27"</f>
        <v>14.27</v>
      </c>
      <c r="C561" t="str">
        <f t="shared" si="11"/>
        <v>14</v>
      </c>
    </row>
    <row r="562" spans="1:3" x14ac:dyDescent="0.25">
      <c r="A562" t="s">
        <v>479</v>
      </c>
      <c r="B562" t="str">
        <f>"14.2701"</f>
        <v>14.2701</v>
      </c>
      <c r="C562" t="str">
        <f t="shared" si="11"/>
        <v>14</v>
      </c>
    </row>
    <row r="563" spans="1:3" x14ac:dyDescent="0.25">
      <c r="A563" t="s">
        <v>480</v>
      </c>
      <c r="B563" t="str">
        <f>"14.28"</f>
        <v>14.28</v>
      </c>
      <c r="C563" t="str">
        <f t="shared" si="11"/>
        <v>14</v>
      </c>
    </row>
    <row r="564" spans="1:3" x14ac:dyDescent="0.25">
      <c r="A564" t="s">
        <v>480</v>
      </c>
      <c r="B564" t="str">
        <f>"14.2801"</f>
        <v>14.2801</v>
      </c>
      <c r="C564" t="str">
        <f t="shared" ref="C564:C600" si="12">"14"</f>
        <v>14</v>
      </c>
    </row>
    <row r="565" spans="1:3" x14ac:dyDescent="0.25">
      <c r="A565" t="s">
        <v>482</v>
      </c>
      <c r="B565" t="str">
        <f>"14.32"</f>
        <v>14.32</v>
      </c>
      <c r="C565" t="str">
        <f t="shared" si="12"/>
        <v>14</v>
      </c>
    </row>
    <row r="566" spans="1:3" x14ac:dyDescent="0.25">
      <c r="A566" t="s">
        <v>482</v>
      </c>
      <c r="B566" t="str">
        <f>"14.3201"</f>
        <v>14.3201</v>
      </c>
      <c r="C566" t="str">
        <f t="shared" si="12"/>
        <v>14</v>
      </c>
    </row>
    <row r="567" spans="1:3" x14ac:dyDescent="0.25">
      <c r="A567" t="s">
        <v>483</v>
      </c>
      <c r="B567" t="str">
        <f>"14.33"</f>
        <v>14.33</v>
      </c>
      <c r="C567" t="str">
        <f t="shared" si="12"/>
        <v>14</v>
      </c>
    </row>
    <row r="568" spans="1:3" x14ac:dyDescent="0.25">
      <c r="A568" t="s">
        <v>483</v>
      </c>
      <c r="B568" t="str">
        <f>"14.3301"</f>
        <v>14.3301</v>
      </c>
      <c r="C568" t="str">
        <f t="shared" si="12"/>
        <v>14</v>
      </c>
    </row>
    <row r="569" spans="1:3" x14ac:dyDescent="0.25">
      <c r="A569" t="s">
        <v>484</v>
      </c>
      <c r="B569" t="str">
        <f>"14.34"</f>
        <v>14.34</v>
      </c>
      <c r="C569" t="str">
        <f t="shared" si="12"/>
        <v>14</v>
      </c>
    </row>
    <row r="570" spans="1:3" x14ac:dyDescent="0.25">
      <c r="A570" t="s">
        <v>484</v>
      </c>
      <c r="B570" t="str">
        <f>"14.3401"</f>
        <v>14.3401</v>
      </c>
      <c r="C570" t="str">
        <f t="shared" si="12"/>
        <v>14</v>
      </c>
    </row>
    <row r="571" spans="1:3" x14ac:dyDescent="0.25">
      <c r="A571" t="s">
        <v>485</v>
      </c>
      <c r="B571" t="str">
        <f>"14.35"</f>
        <v>14.35</v>
      </c>
      <c r="C571" t="str">
        <f t="shared" si="12"/>
        <v>14</v>
      </c>
    </row>
    <row r="572" spans="1:3" x14ac:dyDescent="0.25">
      <c r="A572" t="s">
        <v>485</v>
      </c>
      <c r="B572" t="str">
        <f>"14.3501"</f>
        <v>14.3501</v>
      </c>
      <c r="C572" t="str">
        <f t="shared" si="12"/>
        <v>14</v>
      </c>
    </row>
    <row r="573" spans="1:3" x14ac:dyDescent="0.25">
      <c r="A573" t="s">
        <v>486</v>
      </c>
      <c r="B573" t="str">
        <f>"14.36"</f>
        <v>14.36</v>
      </c>
      <c r="C573" t="str">
        <f t="shared" si="12"/>
        <v>14</v>
      </c>
    </row>
    <row r="574" spans="1:3" x14ac:dyDescent="0.25">
      <c r="A574" t="s">
        <v>486</v>
      </c>
      <c r="B574" t="str">
        <f>"14.3601"</f>
        <v>14.3601</v>
      </c>
      <c r="C574" t="str">
        <f t="shared" si="12"/>
        <v>14</v>
      </c>
    </row>
    <row r="575" spans="1:3" x14ac:dyDescent="0.25">
      <c r="A575" t="s">
        <v>487</v>
      </c>
      <c r="B575" t="str">
        <f>"14.37"</f>
        <v>14.37</v>
      </c>
      <c r="C575" t="str">
        <f t="shared" si="12"/>
        <v>14</v>
      </c>
    </row>
    <row r="576" spans="1:3" x14ac:dyDescent="0.25">
      <c r="A576" t="s">
        <v>487</v>
      </c>
      <c r="B576" t="str">
        <f>"14.3701"</f>
        <v>14.3701</v>
      </c>
      <c r="C576" t="str">
        <f t="shared" si="12"/>
        <v>14</v>
      </c>
    </row>
    <row r="577" spans="1:3" x14ac:dyDescent="0.25">
      <c r="A577" t="s">
        <v>488</v>
      </c>
      <c r="B577" t="str">
        <f>"14.38"</f>
        <v>14.38</v>
      </c>
      <c r="C577" t="str">
        <f t="shared" si="12"/>
        <v>14</v>
      </c>
    </row>
    <row r="578" spans="1:3" x14ac:dyDescent="0.25">
      <c r="A578" t="s">
        <v>488</v>
      </c>
      <c r="B578" t="str">
        <f>"14.3801"</f>
        <v>14.3801</v>
      </c>
      <c r="C578" t="str">
        <f t="shared" si="12"/>
        <v>14</v>
      </c>
    </row>
    <row r="579" spans="1:3" x14ac:dyDescent="0.25">
      <c r="A579" t="s">
        <v>489</v>
      </c>
      <c r="B579" t="str">
        <f>"14.39"</f>
        <v>14.39</v>
      </c>
      <c r="C579" t="str">
        <f t="shared" si="12"/>
        <v>14</v>
      </c>
    </row>
    <row r="580" spans="1:3" x14ac:dyDescent="0.25">
      <c r="A580" t="s">
        <v>489</v>
      </c>
      <c r="B580" t="str">
        <f>"14.3901"</f>
        <v>14.3901</v>
      </c>
      <c r="C580" t="str">
        <f t="shared" si="12"/>
        <v>14</v>
      </c>
    </row>
    <row r="581" spans="1:3" x14ac:dyDescent="0.25">
      <c r="A581" t="s">
        <v>490</v>
      </c>
      <c r="B581" t="str">
        <f>"14.40"</f>
        <v>14.40</v>
      </c>
      <c r="C581" t="str">
        <f t="shared" si="12"/>
        <v>14</v>
      </c>
    </row>
    <row r="582" spans="1:3" x14ac:dyDescent="0.25">
      <c r="A582" t="s">
        <v>490</v>
      </c>
      <c r="B582" t="str">
        <f>"14.4001"</f>
        <v>14.4001</v>
      </c>
      <c r="C582" t="str">
        <f t="shared" si="12"/>
        <v>14</v>
      </c>
    </row>
    <row r="583" spans="1:3" x14ac:dyDescent="0.25">
      <c r="A583" t="s">
        <v>491</v>
      </c>
      <c r="B583" t="str">
        <f>"14.41"</f>
        <v>14.41</v>
      </c>
      <c r="C583" t="str">
        <f t="shared" si="12"/>
        <v>14</v>
      </c>
    </row>
    <row r="584" spans="1:3" x14ac:dyDescent="0.25">
      <c r="A584" t="s">
        <v>491</v>
      </c>
      <c r="B584" t="str">
        <f>"14.4101"</f>
        <v>14.4101</v>
      </c>
      <c r="C584" t="str">
        <f t="shared" si="12"/>
        <v>14</v>
      </c>
    </row>
    <row r="585" spans="1:3" x14ac:dyDescent="0.25">
      <c r="A585" t="s">
        <v>492</v>
      </c>
      <c r="B585" t="str">
        <f>"14.42"</f>
        <v>14.42</v>
      </c>
      <c r="C585" t="str">
        <f t="shared" si="12"/>
        <v>14</v>
      </c>
    </row>
    <row r="586" spans="1:3" x14ac:dyDescent="0.25">
      <c r="A586" t="s">
        <v>492</v>
      </c>
      <c r="B586" t="str">
        <f>"14.4201"</f>
        <v>14.4201</v>
      </c>
      <c r="C586" t="str">
        <f t="shared" si="12"/>
        <v>14</v>
      </c>
    </row>
    <row r="587" spans="1:3" x14ac:dyDescent="0.25">
      <c r="A587" t="s">
        <v>493</v>
      </c>
      <c r="B587" t="str">
        <f>"14.43"</f>
        <v>14.43</v>
      </c>
      <c r="C587" t="str">
        <f t="shared" si="12"/>
        <v>14</v>
      </c>
    </row>
    <row r="588" spans="1:3" x14ac:dyDescent="0.25">
      <c r="A588" t="s">
        <v>493</v>
      </c>
      <c r="B588" t="str">
        <f>"14.4301"</f>
        <v>14.4301</v>
      </c>
      <c r="C588" t="str">
        <f t="shared" si="12"/>
        <v>14</v>
      </c>
    </row>
    <row r="589" spans="1:3" x14ac:dyDescent="0.25">
      <c r="A589" t="s">
        <v>494</v>
      </c>
      <c r="B589" t="str">
        <f>"14.44"</f>
        <v>14.44</v>
      </c>
      <c r="C589" t="str">
        <f t="shared" si="12"/>
        <v>14</v>
      </c>
    </row>
    <row r="590" spans="1:3" x14ac:dyDescent="0.25">
      <c r="A590" t="s">
        <v>494</v>
      </c>
      <c r="B590" t="str">
        <f>"14.4401"</f>
        <v>14.4401</v>
      </c>
      <c r="C590" t="str">
        <f t="shared" si="12"/>
        <v>14</v>
      </c>
    </row>
    <row r="591" spans="1:3" x14ac:dyDescent="0.25">
      <c r="A591" t="s">
        <v>495</v>
      </c>
      <c r="B591" t="str">
        <f>"14.45"</f>
        <v>14.45</v>
      </c>
      <c r="C591" t="str">
        <f t="shared" si="12"/>
        <v>14</v>
      </c>
    </row>
    <row r="592" spans="1:3" x14ac:dyDescent="0.25">
      <c r="A592" t="s">
        <v>495</v>
      </c>
      <c r="B592" t="str">
        <f>"14.4501"</f>
        <v>14.4501</v>
      </c>
      <c r="C592" t="str">
        <f t="shared" si="12"/>
        <v>14</v>
      </c>
    </row>
    <row r="593" spans="1:3" x14ac:dyDescent="0.25">
      <c r="A593" t="s">
        <v>1885</v>
      </c>
      <c r="B593" t="str">
        <f>"14.47"</f>
        <v>14.47</v>
      </c>
      <c r="C593" t="str">
        <f t="shared" si="12"/>
        <v>14</v>
      </c>
    </row>
    <row r="594" spans="1:3" x14ac:dyDescent="0.25">
      <c r="A594" t="s">
        <v>1885</v>
      </c>
      <c r="B594" t="str">
        <f>"14.4701"</f>
        <v>14.4701</v>
      </c>
      <c r="C594" t="str">
        <f t="shared" si="12"/>
        <v>14</v>
      </c>
    </row>
    <row r="595" spans="1:3" x14ac:dyDescent="0.25">
      <c r="A595" t="s">
        <v>1886</v>
      </c>
      <c r="B595" t="str">
        <f>"14.48"</f>
        <v>14.48</v>
      </c>
      <c r="C595" t="str">
        <f t="shared" si="12"/>
        <v>14</v>
      </c>
    </row>
    <row r="596" spans="1:3" x14ac:dyDescent="0.25">
      <c r="A596" t="s">
        <v>1887</v>
      </c>
      <c r="B596" t="str">
        <f>"14.4801"</f>
        <v>14.4801</v>
      </c>
      <c r="C596" t="str">
        <f t="shared" si="12"/>
        <v>14</v>
      </c>
    </row>
    <row r="597" spans="1:3" x14ac:dyDescent="0.25">
      <c r="A597" t="s">
        <v>1888</v>
      </c>
      <c r="B597" t="str">
        <f>"14.4802"</f>
        <v>14.4802</v>
      </c>
      <c r="C597" t="str">
        <f t="shared" si="12"/>
        <v>14</v>
      </c>
    </row>
    <row r="598" spans="1:3" x14ac:dyDescent="0.25">
      <c r="A598" t="s">
        <v>1889</v>
      </c>
      <c r="B598" t="str">
        <f>"14.4899"</f>
        <v>14.4899</v>
      </c>
      <c r="C598" t="str">
        <f t="shared" si="12"/>
        <v>14</v>
      </c>
    </row>
    <row r="599" spans="1:3" x14ac:dyDescent="0.25">
      <c r="A599" t="s">
        <v>496</v>
      </c>
      <c r="B599" t="str">
        <f>"14.99"</f>
        <v>14.99</v>
      </c>
      <c r="C599" t="str">
        <f t="shared" si="12"/>
        <v>14</v>
      </c>
    </row>
    <row r="600" spans="1:3" x14ac:dyDescent="0.25">
      <c r="A600" t="s">
        <v>496</v>
      </c>
      <c r="B600" t="str">
        <f>"14.9999"</f>
        <v>14.9999</v>
      </c>
      <c r="C600" t="str">
        <f t="shared" si="12"/>
        <v>14</v>
      </c>
    </row>
    <row r="601" spans="1:3" x14ac:dyDescent="0.25">
      <c r="A601" t="s">
        <v>1890</v>
      </c>
      <c r="B601" t="str">
        <f>"15"</f>
        <v>15</v>
      </c>
      <c r="C601" t="str">
        <f>"15"</f>
        <v>15</v>
      </c>
    </row>
    <row r="602" spans="1:3" x14ac:dyDescent="0.25">
      <c r="A602" t="s">
        <v>1891</v>
      </c>
      <c r="B602" t="str">
        <f>"15.00"</f>
        <v>15.00</v>
      </c>
      <c r="C602" t="str">
        <f t="shared" ref="C602:C665" si="13">"15"</f>
        <v>15</v>
      </c>
    </row>
    <row r="603" spans="1:3" x14ac:dyDescent="0.25">
      <c r="A603" t="s">
        <v>1891</v>
      </c>
      <c r="B603" t="str">
        <f>"15.0000"</f>
        <v>15.0000</v>
      </c>
      <c r="C603" t="str">
        <f t="shared" si="13"/>
        <v>15</v>
      </c>
    </row>
    <row r="604" spans="1:3" x14ac:dyDescent="0.25">
      <c r="A604" t="s">
        <v>1892</v>
      </c>
      <c r="B604" t="str">
        <f>"15.0001"</f>
        <v>15.0001</v>
      </c>
      <c r="C604" t="str">
        <f t="shared" si="13"/>
        <v>15</v>
      </c>
    </row>
    <row r="605" spans="1:3" x14ac:dyDescent="0.25">
      <c r="A605" t="s">
        <v>497</v>
      </c>
      <c r="B605" t="str">
        <f>"15.01"</f>
        <v>15.01</v>
      </c>
      <c r="C605" t="str">
        <f t="shared" si="13"/>
        <v>15</v>
      </c>
    </row>
    <row r="606" spans="1:3" x14ac:dyDescent="0.25">
      <c r="A606" t="s">
        <v>497</v>
      </c>
      <c r="B606" t="str">
        <f>"15.0101"</f>
        <v>15.0101</v>
      </c>
      <c r="C606" t="str">
        <f t="shared" si="13"/>
        <v>15</v>
      </c>
    </row>
    <row r="607" spans="1:3" x14ac:dyDescent="0.25">
      <c r="A607" t="s">
        <v>498</v>
      </c>
      <c r="B607" t="str">
        <f>"15.02"</f>
        <v>15.02</v>
      </c>
      <c r="C607" t="str">
        <f t="shared" si="13"/>
        <v>15</v>
      </c>
    </row>
    <row r="608" spans="1:3" x14ac:dyDescent="0.25">
      <c r="A608" t="s">
        <v>498</v>
      </c>
      <c r="B608" t="str">
        <f>"15.0201"</f>
        <v>15.0201</v>
      </c>
      <c r="C608" t="str">
        <f t="shared" si="13"/>
        <v>15</v>
      </c>
    </row>
    <row r="609" spans="1:3" x14ac:dyDescent="0.25">
      <c r="A609" t="s">
        <v>1893</v>
      </c>
      <c r="B609" t="str">
        <f>"15.03"</f>
        <v>15.03</v>
      </c>
      <c r="C609" t="str">
        <f t="shared" si="13"/>
        <v>15</v>
      </c>
    </row>
    <row r="610" spans="1:3" x14ac:dyDescent="0.25">
      <c r="A610" t="s">
        <v>1894</v>
      </c>
      <c r="B610" t="str">
        <f>"15.0303"</f>
        <v>15.0303</v>
      </c>
      <c r="C610" t="str">
        <f t="shared" si="13"/>
        <v>15</v>
      </c>
    </row>
    <row r="611" spans="1:3" x14ac:dyDescent="0.25">
      <c r="A611" t="s">
        <v>499</v>
      </c>
      <c r="B611" t="str">
        <f>"15.0304"</f>
        <v>15.0304</v>
      </c>
      <c r="C611" t="str">
        <f t="shared" si="13"/>
        <v>15</v>
      </c>
    </row>
    <row r="612" spans="1:3" x14ac:dyDescent="0.25">
      <c r="A612" t="s">
        <v>500</v>
      </c>
      <c r="B612" t="str">
        <f>"15.0305"</f>
        <v>15.0305</v>
      </c>
      <c r="C612" t="str">
        <f t="shared" si="13"/>
        <v>15</v>
      </c>
    </row>
    <row r="613" spans="1:3" x14ac:dyDescent="0.25">
      <c r="A613" t="s">
        <v>1895</v>
      </c>
      <c r="B613" t="str">
        <f>"15.0306"</f>
        <v>15.0306</v>
      </c>
      <c r="C613" t="str">
        <f t="shared" si="13"/>
        <v>15</v>
      </c>
    </row>
    <row r="614" spans="1:3" x14ac:dyDescent="0.25">
      <c r="A614" t="s">
        <v>1896</v>
      </c>
      <c r="B614" t="str">
        <f>"15.0307"</f>
        <v>15.0307</v>
      </c>
      <c r="C614" t="str">
        <f t="shared" si="13"/>
        <v>15</v>
      </c>
    </row>
    <row r="615" spans="1:3" x14ac:dyDescent="0.25">
      <c r="A615" t="s">
        <v>1897</v>
      </c>
      <c r="B615" t="str">
        <f>"15.0399"</f>
        <v>15.0399</v>
      </c>
      <c r="C615" t="str">
        <f t="shared" si="13"/>
        <v>15</v>
      </c>
    </row>
    <row r="616" spans="1:3" x14ac:dyDescent="0.25">
      <c r="A616" t="s">
        <v>1898</v>
      </c>
      <c r="B616" t="str">
        <f>"15.04"</f>
        <v>15.04</v>
      </c>
      <c r="C616" t="str">
        <f t="shared" si="13"/>
        <v>15</v>
      </c>
    </row>
    <row r="617" spans="1:3" x14ac:dyDescent="0.25">
      <c r="A617" t="s">
        <v>501</v>
      </c>
      <c r="B617" t="str">
        <f>"15.0401"</f>
        <v>15.0401</v>
      </c>
      <c r="C617" t="str">
        <f t="shared" si="13"/>
        <v>15</v>
      </c>
    </row>
    <row r="618" spans="1:3" x14ac:dyDescent="0.25">
      <c r="A618" t="s">
        <v>1899</v>
      </c>
      <c r="B618" t="str">
        <f>"15.0403"</f>
        <v>15.0403</v>
      </c>
      <c r="C618" t="str">
        <f t="shared" si="13"/>
        <v>15</v>
      </c>
    </row>
    <row r="619" spans="1:3" x14ac:dyDescent="0.25">
      <c r="A619" t="s">
        <v>502</v>
      </c>
      <c r="B619" t="str">
        <f>"15.0404"</f>
        <v>15.0404</v>
      </c>
      <c r="C619" t="str">
        <f t="shared" si="13"/>
        <v>15</v>
      </c>
    </row>
    <row r="620" spans="1:3" x14ac:dyDescent="0.25">
      <c r="A620" t="s">
        <v>503</v>
      </c>
      <c r="B620" t="str">
        <f>"15.0405"</f>
        <v>15.0405</v>
      </c>
      <c r="C620" t="str">
        <f t="shared" si="13"/>
        <v>15</v>
      </c>
    </row>
    <row r="621" spans="1:3" x14ac:dyDescent="0.25">
      <c r="A621" t="s">
        <v>504</v>
      </c>
      <c r="B621" t="str">
        <f>"15.0406"</f>
        <v>15.0406</v>
      </c>
      <c r="C621" t="str">
        <f t="shared" si="13"/>
        <v>15</v>
      </c>
    </row>
    <row r="622" spans="1:3" x14ac:dyDescent="0.25">
      <c r="A622" t="s">
        <v>1900</v>
      </c>
      <c r="B622" t="str">
        <f>"15.0407"</f>
        <v>15.0407</v>
      </c>
      <c r="C622" t="str">
        <f t="shared" si="13"/>
        <v>15</v>
      </c>
    </row>
    <row r="623" spans="1:3" x14ac:dyDescent="0.25">
      <c r="A623" t="s">
        <v>1901</v>
      </c>
      <c r="B623" t="str">
        <f>"15.0499"</f>
        <v>15.0499</v>
      </c>
      <c r="C623" t="str">
        <f t="shared" si="13"/>
        <v>15</v>
      </c>
    </row>
    <row r="624" spans="1:3" x14ac:dyDescent="0.25">
      <c r="A624" t="s">
        <v>505</v>
      </c>
      <c r="B624" t="str">
        <f>"15.05"</f>
        <v>15.05</v>
      </c>
      <c r="C624" t="str">
        <f t="shared" si="13"/>
        <v>15</v>
      </c>
    </row>
    <row r="625" spans="1:3" x14ac:dyDescent="0.25">
      <c r="A625" t="s">
        <v>506</v>
      </c>
      <c r="B625" t="str">
        <f>"15.0501"</f>
        <v>15.0501</v>
      </c>
      <c r="C625" t="str">
        <f t="shared" si="13"/>
        <v>15</v>
      </c>
    </row>
    <row r="626" spans="1:3" x14ac:dyDescent="0.25">
      <c r="A626" t="s">
        <v>507</v>
      </c>
      <c r="B626" t="str">
        <f>"15.0503"</f>
        <v>15.0503</v>
      </c>
      <c r="C626" t="str">
        <f t="shared" si="13"/>
        <v>15</v>
      </c>
    </row>
    <row r="627" spans="1:3" x14ac:dyDescent="0.25">
      <c r="A627" t="s">
        <v>508</v>
      </c>
      <c r="B627" t="str">
        <f>"15.0505"</f>
        <v>15.0505</v>
      </c>
      <c r="C627" t="str">
        <f t="shared" si="13"/>
        <v>15</v>
      </c>
    </row>
    <row r="628" spans="1:3" x14ac:dyDescent="0.25">
      <c r="A628" t="s">
        <v>509</v>
      </c>
      <c r="B628" t="str">
        <f>"15.0506"</f>
        <v>15.0506</v>
      </c>
      <c r="C628" t="str">
        <f t="shared" si="13"/>
        <v>15</v>
      </c>
    </row>
    <row r="629" spans="1:3" x14ac:dyDescent="0.25">
      <c r="A629" t="s">
        <v>1902</v>
      </c>
      <c r="B629" t="str">
        <f>"15.0507"</f>
        <v>15.0507</v>
      </c>
      <c r="C629" t="str">
        <f t="shared" si="13"/>
        <v>15</v>
      </c>
    </row>
    <row r="630" spans="1:3" x14ac:dyDescent="0.25">
      <c r="A630" t="s">
        <v>510</v>
      </c>
      <c r="B630" t="str">
        <f>"15.0508"</f>
        <v>15.0508</v>
      </c>
      <c r="C630" t="str">
        <f t="shared" si="13"/>
        <v>15</v>
      </c>
    </row>
    <row r="631" spans="1:3" x14ac:dyDescent="0.25">
      <c r="A631" t="s">
        <v>511</v>
      </c>
      <c r="B631" t="str">
        <f>"15.0599"</f>
        <v>15.0599</v>
      </c>
      <c r="C631" t="str">
        <f t="shared" si="13"/>
        <v>15</v>
      </c>
    </row>
    <row r="632" spans="1:3" x14ac:dyDescent="0.25">
      <c r="A632" t="s">
        <v>512</v>
      </c>
      <c r="B632" t="str">
        <f>"15.06"</f>
        <v>15.06</v>
      </c>
      <c r="C632" t="str">
        <f t="shared" si="13"/>
        <v>15</v>
      </c>
    </row>
    <row r="633" spans="1:3" x14ac:dyDescent="0.25">
      <c r="A633" t="s">
        <v>513</v>
      </c>
      <c r="B633" t="str">
        <f>"15.0607"</f>
        <v>15.0607</v>
      </c>
      <c r="C633" t="str">
        <f t="shared" si="13"/>
        <v>15</v>
      </c>
    </row>
    <row r="634" spans="1:3" x14ac:dyDescent="0.25">
      <c r="A634" t="s">
        <v>514</v>
      </c>
      <c r="B634" t="str">
        <f>"15.0611"</f>
        <v>15.0611</v>
      </c>
      <c r="C634" t="str">
        <f t="shared" si="13"/>
        <v>15</v>
      </c>
    </row>
    <row r="635" spans="1:3" x14ac:dyDescent="0.25">
      <c r="A635" t="s">
        <v>515</v>
      </c>
      <c r="B635" t="str">
        <f>"15.0612"</f>
        <v>15.0612</v>
      </c>
      <c r="C635" t="str">
        <f t="shared" si="13"/>
        <v>15</v>
      </c>
    </row>
    <row r="636" spans="1:3" x14ac:dyDescent="0.25">
      <c r="A636" t="s">
        <v>516</v>
      </c>
      <c r="B636" t="str">
        <f>"15.0613"</f>
        <v>15.0613</v>
      </c>
      <c r="C636" t="str">
        <f t="shared" si="13"/>
        <v>15</v>
      </c>
    </row>
    <row r="637" spans="1:3" x14ac:dyDescent="0.25">
      <c r="A637" t="s">
        <v>517</v>
      </c>
      <c r="B637" t="str">
        <f>"15.0614"</f>
        <v>15.0614</v>
      </c>
      <c r="C637" t="str">
        <f t="shared" si="13"/>
        <v>15</v>
      </c>
    </row>
    <row r="638" spans="1:3" x14ac:dyDescent="0.25">
      <c r="A638" t="s">
        <v>518</v>
      </c>
      <c r="B638" t="str">
        <f>"15.0615"</f>
        <v>15.0615</v>
      </c>
      <c r="C638" t="str">
        <f t="shared" si="13"/>
        <v>15</v>
      </c>
    </row>
    <row r="639" spans="1:3" x14ac:dyDescent="0.25">
      <c r="A639" t="s">
        <v>1903</v>
      </c>
      <c r="B639" t="str">
        <f>"15.0616"</f>
        <v>15.0616</v>
      </c>
      <c r="C639" t="str">
        <f t="shared" si="13"/>
        <v>15</v>
      </c>
    </row>
    <row r="640" spans="1:3" x14ac:dyDescent="0.25">
      <c r="A640" t="s">
        <v>1904</v>
      </c>
      <c r="B640" t="str">
        <f>"15.0617"</f>
        <v>15.0617</v>
      </c>
      <c r="C640" t="str">
        <f t="shared" si="13"/>
        <v>15</v>
      </c>
    </row>
    <row r="641" spans="1:3" x14ac:dyDescent="0.25">
      <c r="A641" t="s">
        <v>519</v>
      </c>
      <c r="B641" t="str">
        <f>"15.0699"</f>
        <v>15.0699</v>
      </c>
      <c r="C641" t="str">
        <f t="shared" si="13"/>
        <v>15</v>
      </c>
    </row>
    <row r="642" spans="1:3" x14ac:dyDescent="0.25">
      <c r="A642" t="s">
        <v>520</v>
      </c>
      <c r="B642" t="str">
        <f>"15.07"</f>
        <v>15.07</v>
      </c>
      <c r="C642" t="str">
        <f t="shared" si="13"/>
        <v>15</v>
      </c>
    </row>
    <row r="643" spans="1:3" x14ac:dyDescent="0.25">
      <c r="A643" t="s">
        <v>521</v>
      </c>
      <c r="B643" t="str">
        <f>"15.0701"</f>
        <v>15.0701</v>
      </c>
      <c r="C643" t="str">
        <f t="shared" si="13"/>
        <v>15</v>
      </c>
    </row>
    <row r="644" spans="1:3" x14ac:dyDescent="0.25">
      <c r="A644" t="s">
        <v>522</v>
      </c>
      <c r="B644" t="str">
        <f>"15.0702"</f>
        <v>15.0702</v>
      </c>
      <c r="C644" t="str">
        <f t="shared" si="13"/>
        <v>15</v>
      </c>
    </row>
    <row r="645" spans="1:3" x14ac:dyDescent="0.25">
      <c r="A645" t="s">
        <v>523</v>
      </c>
      <c r="B645" t="str">
        <f>"15.0703"</f>
        <v>15.0703</v>
      </c>
      <c r="C645" t="str">
        <f t="shared" si="13"/>
        <v>15</v>
      </c>
    </row>
    <row r="646" spans="1:3" x14ac:dyDescent="0.25">
      <c r="A646" t="s">
        <v>524</v>
      </c>
      <c r="B646" t="str">
        <f>"15.0704"</f>
        <v>15.0704</v>
      </c>
      <c r="C646" t="str">
        <f t="shared" si="13"/>
        <v>15</v>
      </c>
    </row>
    <row r="647" spans="1:3" x14ac:dyDescent="0.25">
      <c r="A647" t="s">
        <v>1905</v>
      </c>
      <c r="B647" t="str">
        <f>"15.0705"</f>
        <v>15.0705</v>
      </c>
      <c r="C647" t="str">
        <f t="shared" si="13"/>
        <v>15</v>
      </c>
    </row>
    <row r="648" spans="1:3" x14ac:dyDescent="0.25">
      <c r="A648" t="s">
        <v>525</v>
      </c>
      <c r="B648" t="str">
        <f>"15.0799"</f>
        <v>15.0799</v>
      </c>
      <c r="C648" t="str">
        <f t="shared" si="13"/>
        <v>15</v>
      </c>
    </row>
    <row r="649" spans="1:3" x14ac:dyDescent="0.25">
      <c r="A649" t="s">
        <v>526</v>
      </c>
      <c r="B649" t="str">
        <f>"15.08"</f>
        <v>15.08</v>
      </c>
      <c r="C649" t="str">
        <f t="shared" si="13"/>
        <v>15</v>
      </c>
    </row>
    <row r="650" spans="1:3" x14ac:dyDescent="0.25">
      <c r="A650" t="s">
        <v>527</v>
      </c>
      <c r="B650" t="str">
        <f>"15.0801"</f>
        <v>15.0801</v>
      </c>
      <c r="C650" t="str">
        <f t="shared" si="13"/>
        <v>15</v>
      </c>
    </row>
    <row r="651" spans="1:3" x14ac:dyDescent="0.25">
      <c r="A651" t="s">
        <v>528</v>
      </c>
      <c r="B651" t="str">
        <f>"15.0803"</f>
        <v>15.0803</v>
      </c>
      <c r="C651" t="str">
        <f t="shared" si="13"/>
        <v>15</v>
      </c>
    </row>
    <row r="652" spans="1:3" x14ac:dyDescent="0.25">
      <c r="A652" t="s">
        <v>1906</v>
      </c>
      <c r="B652" t="str">
        <f>"15.0805"</f>
        <v>15.0805</v>
      </c>
      <c r="C652" t="str">
        <f t="shared" si="13"/>
        <v>15</v>
      </c>
    </row>
    <row r="653" spans="1:3" x14ac:dyDescent="0.25">
      <c r="A653" t="s">
        <v>1907</v>
      </c>
      <c r="B653" t="str">
        <f>"15.0806"</f>
        <v>15.0806</v>
      </c>
      <c r="C653" t="str">
        <f t="shared" si="13"/>
        <v>15</v>
      </c>
    </row>
    <row r="654" spans="1:3" x14ac:dyDescent="0.25">
      <c r="A654" t="s">
        <v>1908</v>
      </c>
      <c r="B654" t="str">
        <f>"15.0807"</f>
        <v>15.0807</v>
      </c>
      <c r="C654" t="str">
        <f t="shared" si="13"/>
        <v>15</v>
      </c>
    </row>
    <row r="655" spans="1:3" x14ac:dyDescent="0.25">
      <c r="A655" t="s">
        <v>529</v>
      </c>
      <c r="B655" t="str">
        <f>"15.0899"</f>
        <v>15.0899</v>
      </c>
      <c r="C655" t="str">
        <f t="shared" si="13"/>
        <v>15</v>
      </c>
    </row>
    <row r="656" spans="1:3" x14ac:dyDescent="0.25">
      <c r="A656" t="s">
        <v>530</v>
      </c>
      <c r="B656" t="str">
        <f>"15.09"</f>
        <v>15.09</v>
      </c>
      <c r="C656" t="str">
        <f t="shared" si="13"/>
        <v>15</v>
      </c>
    </row>
    <row r="657" spans="1:3" x14ac:dyDescent="0.25">
      <c r="A657" t="s">
        <v>531</v>
      </c>
      <c r="B657" t="str">
        <f>"15.0901"</f>
        <v>15.0901</v>
      </c>
      <c r="C657" t="str">
        <f t="shared" si="13"/>
        <v>15</v>
      </c>
    </row>
    <row r="658" spans="1:3" x14ac:dyDescent="0.25">
      <c r="A658" t="s">
        <v>532</v>
      </c>
      <c r="B658" t="str">
        <f>"15.0903"</f>
        <v>15.0903</v>
      </c>
      <c r="C658" t="str">
        <f t="shared" si="13"/>
        <v>15</v>
      </c>
    </row>
    <row r="659" spans="1:3" x14ac:dyDescent="0.25">
      <c r="A659" t="s">
        <v>533</v>
      </c>
      <c r="B659" t="str">
        <f>"15.0999"</f>
        <v>15.0999</v>
      </c>
      <c r="C659" t="str">
        <f t="shared" si="13"/>
        <v>15</v>
      </c>
    </row>
    <row r="660" spans="1:3" x14ac:dyDescent="0.25">
      <c r="A660" t="s">
        <v>1909</v>
      </c>
      <c r="B660" t="str">
        <f>"15.10"</f>
        <v>15.10</v>
      </c>
      <c r="C660" t="str">
        <f t="shared" si="13"/>
        <v>15</v>
      </c>
    </row>
    <row r="661" spans="1:3" x14ac:dyDescent="0.25">
      <c r="A661" t="s">
        <v>1909</v>
      </c>
      <c r="B661" t="str">
        <f>"15.1001"</f>
        <v>15.1001</v>
      </c>
      <c r="C661" t="str">
        <f t="shared" si="13"/>
        <v>15</v>
      </c>
    </row>
    <row r="662" spans="1:3" x14ac:dyDescent="0.25">
      <c r="A662" t="s">
        <v>1910</v>
      </c>
      <c r="B662" t="str">
        <f>"15.11"</f>
        <v>15.11</v>
      </c>
      <c r="C662" t="str">
        <f t="shared" si="13"/>
        <v>15</v>
      </c>
    </row>
    <row r="663" spans="1:3" x14ac:dyDescent="0.25">
      <c r="A663" t="s">
        <v>534</v>
      </c>
      <c r="B663" t="str">
        <f>"15.1102"</f>
        <v>15.1102</v>
      </c>
      <c r="C663" t="str">
        <f t="shared" si="13"/>
        <v>15</v>
      </c>
    </row>
    <row r="664" spans="1:3" x14ac:dyDescent="0.25">
      <c r="A664" t="s">
        <v>535</v>
      </c>
      <c r="B664" t="str">
        <f>"15.1103"</f>
        <v>15.1103</v>
      </c>
      <c r="C664" t="str">
        <f t="shared" si="13"/>
        <v>15</v>
      </c>
    </row>
    <row r="665" spans="1:3" x14ac:dyDescent="0.25">
      <c r="A665" t="s">
        <v>1911</v>
      </c>
      <c r="B665" t="str">
        <f>"15.1199"</f>
        <v>15.1199</v>
      </c>
      <c r="C665" t="str">
        <f t="shared" si="13"/>
        <v>15</v>
      </c>
    </row>
    <row r="666" spans="1:3" x14ac:dyDescent="0.25">
      <c r="A666" t="s">
        <v>536</v>
      </c>
      <c r="B666" t="str">
        <f>"15.12"</f>
        <v>15.12</v>
      </c>
      <c r="C666" t="str">
        <f t="shared" ref="C666:C699" si="14">"15"</f>
        <v>15</v>
      </c>
    </row>
    <row r="667" spans="1:3" x14ac:dyDescent="0.25">
      <c r="A667" t="s">
        <v>537</v>
      </c>
      <c r="B667" t="str">
        <f>"15.1201"</f>
        <v>15.1201</v>
      </c>
      <c r="C667" t="str">
        <f t="shared" si="14"/>
        <v>15</v>
      </c>
    </row>
    <row r="668" spans="1:3" x14ac:dyDescent="0.25">
      <c r="A668" t="s">
        <v>1912</v>
      </c>
      <c r="B668" t="str">
        <f>"15.1202"</f>
        <v>15.1202</v>
      </c>
      <c r="C668" t="str">
        <f t="shared" si="14"/>
        <v>15</v>
      </c>
    </row>
    <row r="669" spans="1:3" x14ac:dyDescent="0.25">
      <c r="A669" t="s">
        <v>538</v>
      </c>
      <c r="B669" t="str">
        <f>"15.1203"</f>
        <v>15.1203</v>
      </c>
      <c r="C669" t="str">
        <f t="shared" si="14"/>
        <v>15</v>
      </c>
    </row>
    <row r="670" spans="1:3" x14ac:dyDescent="0.25">
      <c r="A670" t="s">
        <v>539</v>
      </c>
      <c r="B670" t="str">
        <f>"15.1204"</f>
        <v>15.1204</v>
      </c>
      <c r="C670" t="str">
        <f t="shared" si="14"/>
        <v>15</v>
      </c>
    </row>
    <row r="671" spans="1:3" x14ac:dyDescent="0.25">
      <c r="A671" t="s">
        <v>540</v>
      </c>
      <c r="B671" t="str">
        <f>"15.1299"</f>
        <v>15.1299</v>
      </c>
      <c r="C671" t="str">
        <f t="shared" si="14"/>
        <v>15</v>
      </c>
    </row>
    <row r="672" spans="1:3" x14ac:dyDescent="0.25">
      <c r="A672" t="s">
        <v>541</v>
      </c>
      <c r="B672" t="str">
        <f>"15.13"</f>
        <v>15.13</v>
      </c>
      <c r="C672" t="str">
        <f t="shared" si="14"/>
        <v>15</v>
      </c>
    </row>
    <row r="673" spans="1:3" x14ac:dyDescent="0.25">
      <c r="A673" t="s">
        <v>542</v>
      </c>
      <c r="B673" t="str">
        <f>"15.1301"</f>
        <v>15.1301</v>
      </c>
      <c r="C673" t="str">
        <f t="shared" si="14"/>
        <v>15</v>
      </c>
    </row>
    <row r="674" spans="1:3" x14ac:dyDescent="0.25">
      <c r="A674" t="s">
        <v>543</v>
      </c>
      <c r="B674" t="str">
        <f>"15.1302"</f>
        <v>15.1302</v>
      </c>
      <c r="C674" t="str">
        <f t="shared" si="14"/>
        <v>15</v>
      </c>
    </row>
    <row r="675" spans="1:3" x14ac:dyDescent="0.25">
      <c r="A675" t="s">
        <v>544</v>
      </c>
      <c r="B675" t="str">
        <f>"15.1303"</f>
        <v>15.1303</v>
      </c>
      <c r="C675" t="str">
        <f t="shared" si="14"/>
        <v>15</v>
      </c>
    </row>
    <row r="676" spans="1:3" x14ac:dyDescent="0.25">
      <c r="A676" t="s">
        <v>545</v>
      </c>
      <c r="B676" t="str">
        <f>"15.1304"</f>
        <v>15.1304</v>
      </c>
      <c r="C676" t="str">
        <f t="shared" si="14"/>
        <v>15</v>
      </c>
    </row>
    <row r="677" spans="1:3" x14ac:dyDescent="0.25">
      <c r="A677" t="s">
        <v>546</v>
      </c>
      <c r="B677" t="str">
        <f>"15.1305"</f>
        <v>15.1305</v>
      </c>
      <c r="C677" t="str">
        <f t="shared" si="14"/>
        <v>15</v>
      </c>
    </row>
    <row r="678" spans="1:3" x14ac:dyDescent="0.25">
      <c r="A678" t="s">
        <v>547</v>
      </c>
      <c r="B678" t="str">
        <f>"15.1306"</f>
        <v>15.1306</v>
      </c>
      <c r="C678" t="str">
        <f t="shared" si="14"/>
        <v>15</v>
      </c>
    </row>
    <row r="679" spans="1:3" x14ac:dyDescent="0.25">
      <c r="A679" t="s">
        <v>1913</v>
      </c>
      <c r="B679" t="str">
        <f>"15.1307"</f>
        <v>15.1307</v>
      </c>
      <c r="C679" t="str">
        <f t="shared" si="14"/>
        <v>15</v>
      </c>
    </row>
    <row r="680" spans="1:3" x14ac:dyDescent="0.25">
      <c r="A680" t="s">
        <v>548</v>
      </c>
      <c r="B680" t="str">
        <f>"15.1399"</f>
        <v>15.1399</v>
      </c>
      <c r="C680" t="str">
        <f t="shared" si="14"/>
        <v>15</v>
      </c>
    </row>
    <row r="681" spans="1:3" x14ac:dyDescent="0.25">
      <c r="A681" t="s">
        <v>1914</v>
      </c>
      <c r="B681" t="str">
        <f>"15.14"</f>
        <v>15.14</v>
      </c>
      <c r="C681" t="str">
        <f t="shared" si="14"/>
        <v>15</v>
      </c>
    </row>
    <row r="682" spans="1:3" x14ac:dyDescent="0.25">
      <c r="A682" t="s">
        <v>1914</v>
      </c>
      <c r="B682" t="str">
        <f>"15.1401"</f>
        <v>15.1401</v>
      </c>
      <c r="C682" t="str">
        <f t="shared" si="14"/>
        <v>15</v>
      </c>
    </row>
    <row r="683" spans="1:3" x14ac:dyDescent="0.25">
      <c r="A683" t="s">
        <v>549</v>
      </c>
      <c r="B683" t="str">
        <f>"15.15"</f>
        <v>15.15</v>
      </c>
      <c r="C683" t="str">
        <f t="shared" si="14"/>
        <v>15</v>
      </c>
    </row>
    <row r="684" spans="1:3" x14ac:dyDescent="0.25">
      <c r="A684" t="s">
        <v>550</v>
      </c>
      <c r="B684" t="str">
        <f>"15.1501"</f>
        <v>15.1501</v>
      </c>
      <c r="C684" t="str">
        <f t="shared" si="14"/>
        <v>15</v>
      </c>
    </row>
    <row r="685" spans="1:3" x14ac:dyDescent="0.25">
      <c r="A685" t="s">
        <v>551</v>
      </c>
      <c r="B685" t="str">
        <f>"15.1502"</f>
        <v>15.1502</v>
      </c>
      <c r="C685" t="str">
        <f t="shared" si="14"/>
        <v>15</v>
      </c>
    </row>
    <row r="686" spans="1:3" x14ac:dyDescent="0.25">
      <c r="A686" t="s">
        <v>552</v>
      </c>
      <c r="B686" t="str">
        <f>"15.1503"</f>
        <v>15.1503</v>
      </c>
      <c r="C686" t="str">
        <f t="shared" si="14"/>
        <v>15</v>
      </c>
    </row>
    <row r="687" spans="1:3" x14ac:dyDescent="0.25">
      <c r="A687" t="s">
        <v>553</v>
      </c>
      <c r="B687" t="str">
        <f>"15.1599"</f>
        <v>15.1599</v>
      </c>
      <c r="C687" t="str">
        <f t="shared" si="14"/>
        <v>15</v>
      </c>
    </row>
    <row r="688" spans="1:3" x14ac:dyDescent="0.25">
      <c r="A688" t="s">
        <v>554</v>
      </c>
      <c r="B688" t="str">
        <f>"15.16"</f>
        <v>15.16</v>
      </c>
      <c r="C688" t="str">
        <f t="shared" si="14"/>
        <v>15</v>
      </c>
    </row>
    <row r="689" spans="1:3" x14ac:dyDescent="0.25">
      <c r="A689" t="s">
        <v>554</v>
      </c>
      <c r="B689" t="str">
        <f>"15.1601"</f>
        <v>15.1601</v>
      </c>
      <c r="C689" t="str">
        <f t="shared" si="14"/>
        <v>15</v>
      </c>
    </row>
    <row r="690" spans="1:3" x14ac:dyDescent="0.25">
      <c r="A690" t="s">
        <v>1915</v>
      </c>
      <c r="B690" t="str">
        <f>"15.17"</f>
        <v>15.17</v>
      </c>
      <c r="C690" t="str">
        <f t="shared" si="14"/>
        <v>15</v>
      </c>
    </row>
    <row r="691" spans="1:3" x14ac:dyDescent="0.25">
      <c r="A691" t="s">
        <v>1916</v>
      </c>
      <c r="B691" t="str">
        <f>"15.1701"</f>
        <v>15.1701</v>
      </c>
      <c r="C691" t="str">
        <f t="shared" si="14"/>
        <v>15</v>
      </c>
    </row>
    <row r="692" spans="1:3" x14ac:dyDescent="0.25">
      <c r="A692" t="s">
        <v>1917</v>
      </c>
      <c r="B692" t="str">
        <f>"15.1702"</f>
        <v>15.1702</v>
      </c>
      <c r="C692" t="str">
        <f t="shared" si="14"/>
        <v>15</v>
      </c>
    </row>
    <row r="693" spans="1:3" x14ac:dyDescent="0.25">
      <c r="A693" t="s">
        <v>508</v>
      </c>
      <c r="B693" t="str">
        <f>"15.1703"</f>
        <v>15.1703</v>
      </c>
      <c r="C693" t="str">
        <f t="shared" si="14"/>
        <v>15</v>
      </c>
    </row>
    <row r="694" spans="1:3" x14ac:dyDescent="0.25">
      <c r="A694" t="s">
        <v>1918</v>
      </c>
      <c r="B694" t="str">
        <f>"15.1704"</f>
        <v>15.1704</v>
      </c>
      <c r="C694" t="str">
        <f t="shared" si="14"/>
        <v>15</v>
      </c>
    </row>
    <row r="695" spans="1:3" x14ac:dyDescent="0.25">
      <c r="A695" t="s">
        <v>1919</v>
      </c>
      <c r="B695" t="str">
        <f>"15.1705"</f>
        <v>15.1705</v>
      </c>
      <c r="C695" t="str">
        <f t="shared" si="14"/>
        <v>15</v>
      </c>
    </row>
    <row r="696" spans="1:3" x14ac:dyDescent="0.25">
      <c r="A696" t="s">
        <v>1920</v>
      </c>
      <c r="B696" t="str">
        <f>"15.1706"</f>
        <v>15.1706</v>
      </c>
      <c r="C696" t="str">
        <f t="shared" si="14"/>
        <v>15</v>
      </c>
    </row>
    <row r="697" spans="1:3" x14ac:dyDescent="0.25">
      <c r="A697" t="s">
        <v>1921</v>
      </c>
      <c r="B697" t="str">
        <f>"15.1799"</f>
        <v>15.1799</v>
      </c>
      <c r="C697" t="str">
        <f t="shared" si="14"/>
        <v>15</v>
      </c>
    </row>
    <row r="698" spans="1:3" x14ac:dyDescent="0.25">
      <c r="A698" t="s">
        <v>1922</v>
      </c>
      <c r="B698" t="str">
        <f>"15.99"</f>
        <v>15.99</v>
      </c>
      <c r="C698" t="str">
        <f t="shared" si="14"/>
        <v>15</v>
      </c>
    </row>
    <row r="699" spans="1:3" x14ac:dyDescent="0.25">
      <c r="A699" t="s">
        <v>1922</v>
      </c>
      <c r="B699" t="str">
        <f>"15.9999"</f>
        <v>15.9999</v>
      </c>
      <c r="C699" t="str">
        <f t="shared" si="14"/>
        <v>15</v>
      </c>
    </row>
    <row r="700" spans="1:3" x14ac:dyDescent="0.25">
      <c r="A700" t="s">
        <v>555</v>
      </c>
      <c r="B700" t="str">
        <f>"16"</f>
        <v>16</v>
      </c>
      <c r="C700" t="str">
        <f>"16"</f>
        <v>16</v>
      </c>
    </row>
    <row r="701" spans="1:3" x14ac:dyDescent="0.25">
      <c r="A701" t="s">
        <v>556</v>
      </c>
      <c r="B701" t="str">
        <f>"16.01"</f>
        <v>16.01</v>
      </c>
      <c r="C701" t="str">
        <f t="shared" ref="C701:C764" si="15">"16"</f>
        <v>16</v>
      </c>
    </row>
    <row r="702" spans="1:3" x14ac:dyDescent="0.25">
      <c r="A702" t="s">
        <v>557</v>
      </c>
      <c r="B702" t="str">
        <f>"16.0101"</f>
        <v>16.0101</v>
      </c>
      <c r="C702" t="str">
        <f t="shared" si="15"/>
        <v>16</v>
      </c>
    </row>
    <row r="703" spans="1:3" x14ac:dyDescent="0.25">
      <c r="A703" t="s">
        <v>558</v>
      </c>
      <c r="B703" t="str">
        <f>"16.0102"</f>
        <v>16.0102</v>
      </c>
      <c r="C703" t="str">
        <f t="shared" si="15"/>
        <v>16</v>
      </c>
    </row>
    <row r="704" spans="1:3" x14ac:dyDescent="0.25">
      <c r="A704" t="s">
        <v>559</v>
      </c>
      <c r="B704" t="str">
        <f>"16.0103"</f>
        <v>16.0103</v>
      </c>
      <c r="C704" t="str">
        <f t="shared" si="15"/>
        <v>16</v>
      </c>
    </row>
    <row r="705" spans="1:3" x14ac:dyDescent="0.25">
      <c r="A705" t="s">
        <v>560</v>
      </c>
      <c r="B705" t="str">
        <f>"16.0104"</f>
        <v>16.0104</v>
      </c>
      <c r="C705" t="str">
        <f t="shared" si="15"/>
        <v>16</v>
      </c>
    </row>
    <row r="706" spans="1:3" x14ac:dyDescent="0.25">
      <c r="A706" t="s">
        <v>561</v>
      </c>
      <c r="B706" t="str">
        <f>"16.0105"</f>
        <v>16.0105</v>
      </c>
      <c r="C706" t="str">
        <f t="shared" si="15"/>
        <v>16</v>
      </c>
    </row>
    <row r="707" spans="1:3" x14ac:dyDescent="0.25">
      <c r="A707" t="s">
        <v>562</v>
      </c>
      <c r="B707" t="str">
        <f>"16.0199"</f>
        <v>16.0199</v>
      </c>
      <c r="C707" t="str">
        <f t="shared" si="15"/>
        <v>16</v>
      </c>
    </row>
    <row r="708" spans="1:3" x14ac:dyDescent="0.25">
      <c r="A708" t="s">
        <v>563</v>
      </c>
      <c r="B708" t="str">
        <f>"16.02"</f>
        <v>16.02</v>
      </c>
      <c r="C708" t="str">
        <f t="shared" si="15"/>
        <v>16</v>
      </c>
    </row>
    <row r="709" spans="1:3" x14ac:dyDescent="0.25">
      <c r="A709" t="s">
        <v>563</v>
      </c>
      <c r="B709" t="str">
        <f>"16.0201"</f>
        <v>16.0201</v>
      </c>
      <c r="C709" t="str">
        <f t="shared" si="15"/>
        <v>16</v>
      </c>
    </row>
    <row r="710" spans="1:3" x14ac:dyDescent="0.25">
      <c r="A710" t="s">
        <v>564</v>
      </c>
      <c r="B710" t="str">
        <f>"16.03"</f>
        <v>16.03</v>
      </c>
      <c r="C710" t="str">
        <f t="shared" si="15"/>
        <v>16</v>
      </c>
    </row>
    <row r="711" spans="1:3" x14ac:dyDescent="0.25">
      <c r="A711" t="s">
        <v>565</v>
      </c>
      <c r="B711" t="str">
        <f>"16.0300"</f>
        <v>16.0300</v>
      </c>
      <c r="C711" t="str">
        <f t="shared" si="15"/>
        <v>16</v>
      </c>
    </row>
    <row r="712" spans="1:3" x14ac:dyDescent="0.25">
      <c r="A712" t="s">
        <v>566</v>
      </c>
      <c r="B712" t="str">
        <f>"16.0301"</f>
        <v>16.0301</v>
      </c>
      <c r="C712" t="str">
        <f t="shared" si="15"/>
        <v>16</v>
      </c>
    </row>
    <row r="713" spans="1:3" x14ac:dyDescent="0.25">
      <c r="A713" t="s">
        <v>567</v>
      </c>
      <c r="B713" t="str">
        <f>"16.0302"</f>
        <v>16.0302</v>
      </c>
      <c r="C713" t="str">
        <f t="shared" si="15"/>
        <v>16</v>
      </c>
    </row>
    <row r="714" spans="1:3" x14ac:dyDescent="0.25">
      <c r="A714" t="s">
        <v>568</v>
      </c>
      <c r="B714" t="str">
        <f>"16.0303"</f>
        <v>16.0303</v>
      </c>
      <c r="C714" t="str">
        <f t="shared" si="15"/>
        <v>16</v>
      </c>
    </row>
    <row r="715" spans="1:3" x14ac:dyDescent="0.25">
      <c r="A715" t="s">
        <v>569</v>
      </c>
      <c r="B715" t="str">
        <f>"16.0304"</f>
        <v>16.0304</v>
      </c>
      <c r="C715" t="str">
        <f t="shared" si="15"/>
        <v>16</v>
      </c>
    </row>
    <row r="716" spans="1:3" x14ac:dyDescent="0.25">
      <c r="A716" t="s">
        <v>570</v>
      </c>
      <c r="B716" t="str">
        <f>"16.0399"</f>
        <v>16.0399</v>
      </c>
      <c r="C716" t="str">
        <f t="shared" si="15"/>
        <v>16</v>
      </c>
    </row>
    <row r="717" spans="1:3" x14ac:dyDescent="0.25">
      <c r="A717" t="s">
        <v>571</v>
      </c>
      <c r="B717" t="str">
        <f>"16.04"</f>
        <v>16.04</v>
      </c>
      <c r="C717" t="str">
        <f t="shared" si="15"/>
        <v>16</v>
      </c>
    </row>
    <row r="718" spans="1:3" x14ac:dyDescent="0.25">
      <c r="A718" t="s">
        <v>572</v>
      </c>
      <c r="B718" t="str">
        <f>"16.0400"</f>
        <v>16.0400</v>
      </c>
      <c r="C718" t="str">
        <f t="shared" si="15"/>
        <v>16</v>
      </c>
    </row>
    <row r="719" spans="1:3" x14ac:dyDescent="0.25">
      <c r="A719" t="s">
        <v>573</v>
      </c>
      <c r="B719" t="str">
        <f>"16.0401"</f>
        <v>16.0401</v>
      </c>
      <c r="C719" t="str">
        <f t="shared" si="15"/>
        <v>16</v>
      </c>
    </row>
    <row r="720" spans="1:3" x14ac:dyDescent="0.25">
      <c r="A720" t="s">
        <v>574</v>
      </c>
      <c r="B720" t="str">
        <f>"16.0402"</f>
        <v>16.0402</v>
      </c>
      <c r="C720" t="str">
        <f t="shared" si="15"/>
        <v>16</v>
      </c>
    </row>
    <row r="721" spans="1:3" x14ac:dyDescent="0.25">
      <c r="A721" t="s">
        <v>575</v>
      </c>
      <c r="B721" t="str">
        <f>"16.0404"</f>
        <v>16.0404</v>
      </c>
      <c r="C721" t="str">
        <f t="shared" si="15"/>
        <v>16</v>
      </c>
    </row>
    <row r="722" spans="1:3" x14ac:dyDescent="0.25">
      <c r="A722" t="s">
        <v>576</v>
      </c>
      <c r="B722" t="str">
        <f>"16.0405"</f>
        <v>16.0405</v>
      </c>
      <c r="C722" t="str">
        <f t="shared" si="15"/>
        <v>16</v>
      </c>
    </row>
    <row r="723" spans="1:3" x14ac:dyDescent="0.25">
      <c r="A723" t="s">
        <v>577</v>
      </c>
      <c r="B723" t="str">
        <f>"16.0406"</f>
        <v>16.0406</v>
      </c>
      <c r="C723" t="str">
        <f t="shared" si="15"/>
        <v>16</v>
      </c>
    </row>
    <row r="724" spans="1:3" x14ac:dyDescent="0.25">
      <c r="A724" t="s">
        <v>578</v>
      </c>
      <c r="B724" t="str">
        <f>"16.0407"</f>
        <v>16.0407</v>
      </c>
      <c r="C724" t="str">
        <f t="shared" si="15"/>
        <v>16</v>
      </c>
    </row>
    <row r="725" spans="1:3" x14ac:dyDescent="0.25">
      <c r="A725" t="s">
        <v>579</v>
      </c>
      <c r="B725" t="str">
        <f>"16.0408"</f>
        <v>16.0408</v>
      </c>
      <c r="C725" t="str">
        <f t="shared" si="15"/>
        <v>16</v>
      </c>
    </row>
    <row r="726" spans="1:3" x14ac:dyDescent="0.25">
      <c r="A726" t="s">
        <v>580</v>
      </c>
      <c r="B726" t="str">
        <f>"16.0409"</f>
        <v>16.0409</v>
      </c>
      <c r="C726" t="str">
        <f t="shared" si="15"/>
        <v>16</v>
      </c>
    </row>
    <row r="727" spans="1:3" x14ac:dyDescent="0.25">
      <c r="A727" t="s">
        <v>581</v>
      </c>
      <c r="B727" t="str">
        <f>"16.0410"</f>
        <v>16.0410</v>
      </c>
      <c r="C727" t="str">
        <f t="shared" si="15"/>
        <v>16</v>
      </c>
    </row>
    <row r="728" spans="1:3" x14ac:dyDescent="0.25">
      <c r="A728" t="s">
        <v>582</v>
      </c>
      <c r="B728" t="str">
        <f>"16.0499"</f>
        <v>16.0499</v>
      </c>
      <c r="C728" t="str">
        <f t="shared" si="15"/>
        <v>16</v>
      </c>
    </row>
    <row r="729" spans="1:3" x14ac:dyDescent="0.25">
      <c r="A729" t="s">
        <v>583</v>
      </c>
      <c r="B729" t="str">
        <f>"16.05"</f>
        <v>16.05</v>
      </c>
      <c r="C729" t="str">
        <f t="shared" si="15"/>
        <v>16</v>
      </c>
    </row>
    <row r="730" spans="1:3" x14ac:dyDescent="0.25">
      <c r="A730" t="s">
        <v>584</v>
      </c>
      <c r="B730" t="str">
        <f>"16.0500"</f>
        <v>16.0500</v>
      </c>
      <c r="C730" t="str">
        <f t="shared" si="15"/>
        <v>16</v>
      </c>
    </row>
    <row r="731" spans="1:3" x14ac:dyDescent="0.25">
      <c r="A731" t="s">
        <v>585</v>
      </c>
      <c r="B731" t="str">
        <f>"16.0501"</f>
        <v>16.0501</v>
      </c>
      <c r="C731" t="str">
        <f t="shared" si="15"/>
        <v>16</v>
      </c>
    </row>
    <row r="732" spans="1:3" x14ac:dyDescent="0.25">
      <c r="A732" t="s">
        <v>586</v>
      </c>
      <c r="B732" t="str">
        <f>"16.0502"</f>
        <v>16.0502</v>
      </c>
      <c r="C732" t="str">
        <f t="shared" si="15"/>
        <v>16</v>
      </c>
    </row>
    <row r="733" spans="1:3" x14ac:dyDescent="0.25">
      <c r="A733" t="s">
        <v>587</v>
      </c>
      <c r="B733" t="str">
        <f>"16.0503"</f>
        <v>16.0503</v>
      </c>
      <c r="C733" t="str">
        <f t="shared" si="15"/>
        <v>16</v>
      </c>
    </row>
    <row r="734" spans="1:3" x14ac:dyDescent="0.25">
      <c r="A734" t="s">
        <v>588</v>
      </c>
      <c r="B734" t="str">
        <f>"16.0504"</f>
        <v>16.0504</v>
      </c>
      <c r="C734" t="str">
        <f t="shared" si="15"/>
        <v>16</v>
      </c>
    </row>
    <row r="735" spans="1:3" x14ac:dyDescent="0.25">
      <c r="A735" t="s">
        <v>589</v>
      </c>
      <c r="B735" t="str">
        <f>"16.0505"</f>
        <v>16.0505</v>
      </c>
      <c r="C735" t="str">
        <f t="shared" si="15"/>
        <v>16</v>
      </c>
    </row>
    <row r="736" spans="1:3" x14ac:dyDescent="0.25">
      <c r="A736" t="s">
        <v>590</v>
      </c>
      <c r="B736" t="str">
        <f>"16.0506"</f>
        <v>16.0506</v>
      </c>
      <c r="C736" t="str">
        <f t="shared" si="15"/>
        <v>16</v>
      </c>
    </row>
    <row r="737" spans="1:3" x14ac:dyDescent="0.25">
      <c r="A737" t="s">
        <v>591</v>
      </c>
      <c r="B737" t="str">
        <f>"16.0599"</f>
        <v>16.0599</v>
      </c>
      <c r="C737" t="str">
        <f t="shared" si="15"/>
        <v>16</v>
      </c>
    </row>
    <row r="738" spans="1:3" x14ac:dyDescent="0.25">
      <c r="A738" t="s">
        <v>592</v>
      </c>
      <c r="B738" t="str">
        <f>"16.06"</f>
        <v>16.06</v>
      </c>
      <c r="C738" t="str">
        <f t="shared" si="15"/>
        <v>16</v>
      </c>
    </row>
    <row r="739" spans="1:3" x14ac:dyDescent="0.25">
      <c r="A739" t="s">
        <v>592</v>
      </c>
      <c r="B739" t="str">
        <f>"16.0601"</f>
        <v>16.0601</v>
      </c>
      <c r="C739" t="str">
        <f t="shared" si="15"/>
        <v>16</v>
      </c>
    </row>
    <row r="740" spans="1:3" x14ac:dyDescent="0.25">
      <c r="A740" t="s">
        <v>593</v>
      </c>
      <c r="B740" t="str">
        <f>"16.07"</f>
        <v>16.07</v>
      </c>
      <c r="C740" t="str">
        <f t="shared" si="15"/>
        <v>16</v>
      </c>
    </row>
    <row r="741" spans="1:3" x14ac:dyDescent="0.25">
      <c r="A741" t="s">
        <v>594</v>
      </c>
      <c r="B741" t="str">
        <f>"16.0700"</f>
        <v>16.0700</v>
      </c>
      <c r="C741" t="str">
        <f t="shared" si="15"/>
        <v>16</v>
      </c>
    </row>
    <row r="742" spans="1:3" x14ac:dyDescent="0.25">
      <c r="A742" t="s">
        <v>595</v>
      </c>
      <c r="B742" t="str">
        <f>"16.0701"</f>
        <v>16.0701</v>
      </c>
      <c r="C742" t="str">
        <f t="shared" si="15"/>
        <v>16</v>
      </c>
    </row>
    <row r="743" spans="1:3" x14ac:dyDescent="0.25">
      <c r="A743" t="s">
        <v>596</v>
      </c>
      <c r="B743" t="str">
        <f>"16.0702"</f>
        <v>16.0702</v>
      </c>
      <c r="C743" t="str">
        <f t="shared" si="15"/>
        <v>16</v>
      </c>
    </row>
    <row r="744" spans="1:3" x14ac:dyDescent="0.25">
      <c r="A744" t="s">
        <v>597</v>
      </c>
      <c r="B744" t="str">
        <f>"16.0704"</f>
        <v>16.0704</v>
      </c>
      <c r="C744" t="str">
        <f t="shared" si="15"/>
        <v>16</v>
      </c>
    </row>
    <row r="745" spans="1:3" x14ac:dyDescent="0.25">
      <c r="A745" t="s">
        <v>598</v>
      </c>
      <c r="B745" t="str">
        <f>"16.0705"</f>
        <v>16.0705</v>
      </c>
      <c r="C745" t="str">
        <f t="shared" si="15"/>
        <v>16</v>
      </c>
    </row>
    <row r="746" spans="1:3" x14ac:dyDescent="0.25">
      <c r="A746" t="s">
        <v>599</v>
      </c>
      <c r="B746" t="str">
        <f>"16.0706"</f>
        <v>16.0706</v>
      </c>
      <c r="C746" t="str">
        <f t="shared" si="15"/>
        <v>16</v>
      </c>
    </row>
    <row r="747" spans="1:3" x14ac:dyDescent="0.25">
      <c r="A747" t="s">
        <v>600</v>
      </c>
      <c r="B747" t="str">
        <f>"16.0707"</f>
        <v>16.0707</v>
      </c>
      <c r="C747" t="str">
        <f t="shared" si="15"/>
        <v>16</v>
      </c>
    </row>
    <row r="748" spans="1:3" x14ac:dyDescent="0.25">
      <c r="A748" t="s">
        <v>601</v>
      </c>
      <c r="B748" t="str">
        <f>"16.0799"</f>
        <v>16.0799</v>
      </c>
      <c r="C748" t="str">
        <f t="shared" si="15"/>
        <v>16</v>
      </c>
    </row>
    <row r="749" spans="1:3" x14ac:dyDescent="0.25">
      <c r="A749" t="s">
        <v>602</v>
      </c>
      <c r="B749" t="str">
        <f>"16.08"</f>
        <v>16.08</v>
      </c>
      <c r="C749" t="str">
        <f t="shared" si="15"/>
        <v>16</v>
      </c>
    </row>
    <row r="750" spans="1:3" x14ac:dyDescent="0.25">
      <c r="A750" t="s">
        <v>1923</v>
      </c>
      <c r="B750" t="str">
        <f>"16.0801"</f>
        <v>16.0801</v>
      </c>
      <c r="C750" t="str">
        <f t="shared" si="15"/>
        <v>16</v>
      </c>
    </row>
    <row r="751" spans="1:3" x14ac:dyDescent="0.25">
      <c r="A751" t="s">
        <v>603</v>
      </c>
      <c r="B751" t="str">
        <f>"16.09"</f>
        <v>16.09</v>
      </c>
      <c r="C751" t="str">
        <f t="shared" si="15"/>
        <v>16</v>
      </c>
    </row>
    <row r="752" spans="1:3" x14ac:dyDescent="0.25">
      <c r="A752" t="s">
        <v>604</v>
      </c>
      <c r="B752" t="str">
        <f>"16.0900"</f>
        <v>16.0900</v>
      </c>
      <c r="C752" t="str">
        <f t="shared" si="15"/>
        <v>16</v>
      </c>
    </row>
    <row r="753" spans="1:3" x14ac:dyDescent="0.25">
      <c r="A753" t="s">
        <v>605</v>
      </c>
      <c r="B753" t="str">
        <f>"16.0901"</f>
        <v>16.0901</v>
      </c>
      <c r="C753" t="str">
        <f t="shared" si="15"/>
        <v>16</v>
      </c>
    </row>
    <row r="754" spans="1:3" x14ac:dyDescent="0.25">
      <c r="A754" t="s">
        <v>606</v>
      </c>
      <c r="B754" t="str">
        <f>"16.0902"</f>
        <v>16.0902</v>
      </c>
      <c r="C754" t="str">
        <f t="shared" si="15"/>
        <v>16</v>
      </c>
    </row>
    <row r="755" spans="1:3" x14ac:dyDescent="0.25">
      <c r="A755" t="s">
        <v>607</v>
      </c>
      <c r="B755" t="str">
        <f>"16.0904"</f>
        <v>16.0904</v>
      </c>
      <c r="C755" t="str">
        <f t="shared" si="15"/>
        <v>16</v>
      </c>
    </row>
    <row r="756" spans="1:3" x14ac:dyDescent="0.25">
      <c r="A756" t="s">
        <v>608</v>
      </c>
      <c r="B756" t="str">
        <f>"16.0905"</f>
        <v>16.0905</v>
      </c>
      <c r="C756" t="str">
        <f t="shared" si="15"/>
        <v>16</v>
      </c>
    </row>
    <row r="757" spans="1:3" x14ac:dyDescent="0.25">
      <c r="A757" t="s">
        <v>609</v>
      </c>
      <c r="B757" t="str">
        <f>"16.0906"</f>
        <v>16.0906</v>
      </c>
      <c r="C757" t="str">
        <f t="shared" si="15"/>
        <v>16</v>
      </c>
    </row>
    <row r="758" spans="1:3" x14ac:dyDescent="0.25">
      <c r="A758" t="s">
        <v>610</v>
      </c>
      <c r="B758" t="str">
        <f>"16.0907"</f>
        <v>16.0907</v>
      </c>
      <c r="C758" t="str">
        <f t="shared" si="15"/>
        <v>16</v>
      </c>
    </row>
    <row r="759" spans="1:3" x14ac:dyDescent="0.25">
      <c r="A759" t="s">
        <v>611</v>
      </c>
      <c r="B759" t="str">
        <f>"16.0908"</f>
        <v>16.0908</v>
      </c>
      <c r="C759" t="str">
        <f t="shared" si="15"/>
        <v>16</v>
      </c>
    </row>
    <row r="760" spans="1:3" x14ac:dyDescent="0.25">
      <c r="A760" t="s">
        <v>612</v>
      </c>
      <c r="B760" t="str">
        <f>"16.0999"</f>
        <v>16.0999</v>
      </c>
      <c r="C760" t="str">
        <f t="shared" si="15"/>
        <v>16</v>
      </c>
    </row>
    <row r="761" spans="1:3" x14ac:dyDescent="0.25">
      <c r="A761" t="s">
        <v>613</v>
      </c>
      <c r="B761" t="str">
        <f>"16.10"</f>
        <v>16.10</v>
      </c>
      <c r="C761" t="str">
        <f t="shared" si="15"/>
        <v>16</v>
      </c>
    </row>
    <row r="762" spans="1:3" x14ac:dyDescent="0.25">
      <c r="A762" t="s">
        <v>613</v>
      </c>
      <c r="B762" t="str">
        <f>"16.1001"</f>
        <v>16.1001</v>
      </c>
      <c r="C762" t="str">
        <f t="shared" si="15"/>
        <v>16</v>
      </c>
    </row>
    <row r="763" spans="1:3" x14ac:dyDescent="0.25">
      <c r="A763" t="s">
        <v>614</v>
      </c>
      <c r="B763" t="str">
        <f>"16.11"</f>
        <v>16.11</v>
      </c>
      <c r="C763" t="str">
        <f t="shared" si="15"/>
        <v>16</v>
      </c>
    </row>
    <row r="764" spans="1:3" x14ac:dyDescent="0.25">
      <c r="A764" t="s">
        <v>615</v>
      </c>
      <c r="B764" t="str">
        <f>"16.1100"</f>
        <v>16.1100</v>
      </c>
      <c r="C764" t="str">
        <f t="shared" si="15"/>
        <v>16</v>
      </c>
    </row>
    <row r="765" spans="1:3" x14ac:dyDescent="0.25">
      <c r="A765" t="s">
        <v>616</v>
      </c>
      <c r="B765" t="str">
        <f>"16.1101"</f>
        <v>16.1101</v>
      </c>
      <c r="C765" t="str">
        <f t="shared" ref="C765:C806" si="16">"16"</f>
        <v>16</v>
      </c>
    </row>
    <row r="766" spans="1:3" x14ac:dyDescent="0.25">
      <c r="A766" t="s">
        <v>617</v>
      </c>
      <c r="B766" t="str">
        <f>"16.1102"</f>
        <v>16.1102</v>
      </c>
      <c r="C766" t="str">
        <f t="shared" si="16"/>
        <v>16</v>
      </c>
    </row>
    <row r="767" spans="1:3" x14ac:dyDescent="0.25">
      <c r="A767" t="s">
        <v>618</v>
      </c>
      <c r="B767" t="str">
        <f>"16.1103"</f>
        <v>16.1103</v>
      </c>
      <c r="C767" t="str">
        <f t="shared" si="16"/>
        <v>16</v>
      </c>
    </row>
    <row r="768" spans="1:3" x14ac:dyDescent="0.25">
      <c r="A768" t="s">
        <v>619</v>
      </c>
      <c r="B768" t="str">
        <f>"16.1199"</f>
        <v>16.1199</v>
      </c>
      <c r="C768" t="str">
        <f t="shared" si="16"/>
        <v>16</v>
      </c>
    </row>
    <row r="769" spans="1:3" x14ac:dyDescent="0.25">
      <c r="A769" t="s">
        <v>620</v>
      </c>
      <c r="B769" t="str">
        <f>"16.12"</f>
        <v>16.12</v>
      </c>
      <c r="C769" t="str">
        <f t="shared" si="16"/>
        <v>16</v>
      </c>
    </row>
    <row r="770" spans="1:3" x14ac:dyDescent="0.25">
      <c r="A770" t="s">
        <v>621</v>
      </c>
      <c r="B770" t="str">
        <f>"16.1200"</f>
        <v>16.1200</v>
      </c>
      <c r="C770" t="str">
        <f t="shared" si="16"/>
        <v>16</v>
      </c>
    </row>
    <row r="771" spans="1:3" x14ac:dyDescent="0.25">
      <c r="A771" t="s">
        <v>622</v>
      </c>
      <c r="B771" t="str">
        <f>"16.1202"</f>
        <v>16.1202</v>
      </c>
      <c r="C771" t="str">
        <f t="shared" si="16"/>
        <v>16</v>
      </c>
    </row>
    <row r="772" spans="1:3" x14ac:dyDescent="0.25">
      <c r="A772" t="s">
        <v>623</v>
      </c>
      <c r="B772" t="str">
        <f>"16.1203"</f>
        <v>16.1203</v>
      </c>
      <c r="C772" t="str">
        <f t="shared" si="16"/>
        <v>16</v>
      </c>
    </row>
    <row r="773" spans="1:3" x14ac:dyDescent="0.25">
      <c r="A773" t="s">
        <v>624</v>
      </c>
      <c r="B773" t="str">
        <f>"16.1299"</f>
        <v>16.1299</v>
      </c>
      <c r="C773" t="str">
        <f t="shared" si="16"/>
        <v>16</v>
      </c>
    </row>
    <row r="774" spans="1:3" x14ac:dyDescent="0.25">
      <c r="A774" t="s">
        <v>625</v>
      </c>
      <c r="B774" t="str">
        <f>"16.13"</f>
        <v>16.13</v>
      </c>
      <c r="C774" t="str">
        <f t="shared" si="16"/>
        <v>16</v>
      </c>
    </row>
    <row r="775" spans="1:3" x14ac:dyDescent="0.25">
      <c r="A775" t="s">
        <v>625</v>
      </c>
      <c r="B775" t="str">
        <f>"16.1301"</f>
        <v>16.1301</v>
      </c>
      <c r="C775" t="str">
        <f t="shared" si="16"/>
        <v>16</v>
      </c>
    </row>
    <row r="776" spans="1:3" x14ac:dyDescent="0.25">
      <c r="A776" t="s">
        <v>626</v>
      </c>
      <c r="B776" t="str">
        <f>"16.14"</f>
        <v>16.14</v>
      </c>
      <c r="C776" t="str">
        <f t="shared" si="16"/>
        <v>16</v>
      </c>
    </row>
    <row r="777" spans="1:3" x14ac:dyDescent="0.25">
      <c r="A777" t="s">
        <v>627</v>
      </c>
      <c r="B777" t="str">
        <f>"16.1400"</f>
        <v>16.1400</v>
      </c>
      <c r="C777" t="str">
        <f t="shared" si="16"/>
        <v>16</v>
      </c>
    </row>
    <row r="778" spans="1:3" x14ac:dyDescent="0.25">
      <c r="A778" t="s">
        <v>628</v>
      </c>
      <c r="B778" t="str">
        <f>"16.1401"</f>
        <v>16.1401</v>
      </c>
      <c r="C778" t="str">
        <f t="shared" si="16"/>
        <v>16</v>
      </c>
    </row>
    <row r="779" spans="1:3" x14ac:dyDescent="0.25">
      <c r="A779" t="s">
        <v>629</v>
      </c>
      <c r="B779" t="str">
        <f>"16.1402"</f>
        <v>16.1402</v>
      </c>
      <c r="C779" t="str">
        <f t="shared" si="16"/>
        <v>16</v>
      </c>
    </row>
    <row r="780" spans="1:3" x14ac:dyDescent="0.25">
      <c r="A780" t="s">
        <v>630</v>
      </c>
      <c r="B780" t="str">
        <f>"16.1403"</f>
        <v>16.1403</v>
      </c>
      <c r="C780" t="str">
        <f t="shared" si="16"/>
        <v>16</v>
      </c>
    </row>
    <row r="781" spans="1:3" x14ac:dyDescent="0.25">
      <c r="A781" t="s">
        <v>631</v>
      </c>
      <c r="B781" t="str">
        <f>"16.1404"</f>
        <v>16.1404</v>
      </c>
      <c r="C781" t="str">
        <f t="shared" si="16"/>
        <v>16</v>
      </c>
    </row>
    <row r="782" spans="1:3" x14ac:dyDescent="0.25">
      <c r="A782" t="s">
        <v>632</v>
      </c>
      <c r="B782" t="str">
        <f>"16.1405"</f>
        <v>16.1405</v>
      </c>
      <c r="C782" t="str">
        <f t="shared" si="16"/>
        <v>16</v>
      </c>
    </row>
    <row r="783" spans="1:3" x14ac:dyDescent="0.25">
      <c r="A783" t="s">
        <v>633</v>
      </c>
      <c r="B783" t="str">
        <f>"16.1406"</f>
        <v>16.1406</v>
      </c>
      <c r="C783" t="str">
        <f t="shared" si="16"/>
        <v>16</v>
      </c>
    </row>
    <row r="784" spans="1:3" x14ac:dyDescent="0.25">
      <c r="A784" t="s">
        <v>634</v>
      </c>
      <c r="B784" t="str">
        <f>"16.1407"</f>
        <v>16.1407</v>
      </c>
      <c r="C784" t="str">
        <f t="shared" si="16"/>
        <v>16</v>
      </c>
    </row>
    <row r="785" spans="1:3" x14ac:dyDescent="0.25">
      <c r="A785" t="s">
        <v>635</v>
      </c>
      <c r="B785" t="str">
        <f>"16.1408"</f>
        <v>16.1408</v>
      </c>
      <c r="C785" t="str">
        <f t="shared" si="16"/>
        <v>16</v>
      </c>
    </row>
    <row r="786" spans="1:3" x14ac:dyDescent="0.25">
      <c r="A786" t="s">
        <v>1924</v>
      </c>
      <c r="B786" t="str">
        <f>"16.1409"</f>
        <v>16.1409</v>
      </c>
      <c r="C786" t="str">
        <f t="shared" si="16"/>
        <v>16</v>
      </c>
    </row>
    <row r="787" spans="1:3" x14ac:dyDescent="0.25">
      <c r="A787" t="s">
        <v>636</v>
      </c>
      <c r="B787" t="str">
        <f>"16.1499"</f>
        <v>16.1499</v>
      </c>
      <c r="C787" t="str">
        <f t="shared" si="16"/>
        <v>16</v>
      </c>
    </row>
    <row r="788" spans="1:3" x14ac:dyDescent="0.25">
      <c r="A788" t="s">
        <v>637</v>
      </c>
      <c r="B788" t="str">
        <f>"16.15"</f>
        <v>16.15</v>
      </c>
      <c r="C788" t="str">
        <f t="shared" si="16"/>
        <v>16</v>
      </c>
    </row>
    <row r="789" spans="1:3" x14ac:dyDescent="0.25">
      <c r="A789" t="s">
        <v>638</v>
      </c>
      <c r="B789" t="str">
        <f>"16.1501"</f>
        <v>16.1501</v>
      </c>
      <c r="C789" t="str">
        <f t="shared" si="16"/>
        <v>16</v>
      </c>
    </row>
    <row r="790" spans="1:3" x14ac:dyDescent="0.25">
      <c r="A790" t="s">
        <v>639</v>
      </c>
      <c r="B790" t="str">
        <f>"16.1502"</f>
        <v>16.1502</v>
      </c>
      <c r="C790" t="str">
        <f t="shared" si="16"/>
        <v>16</v>
      </c>
    </row>
    <row r="791" spans="1:3" x14ac:dyDescent="0.25">
      <c r="A791" t="s">
        <v>640</v>
      </c>
      <c r="B791" t="str">
        <f>"16.1503"</f>
        <v>16.1503</v>
      </c>
      <c r="C791" t="str">
        <f t="shared" si="16"/>
        <v>16</v>
      </c>
    </row>
    <row r="792" spans="1:3" x14ac:dyDescent="0.25">
      <c r="A792" t="s">
        <v>641</v>
      </c>
      <c r="B792" t="str">
        <f>"16.1504"</f>
        <v>16.1504</v>
      </c>
      <c r="C792" t="str">
        <f t="shared" si="16"/>
        <v>16</v>
      </c>
    </row>
    <row r="793" spans="1:3" x14ac:dyDescent="0.25">
      <c r="A793" t="s">
        <v>642</v>
      </c>
      <c r="B793" t="str">
        <f>"16.1599"</f>
        <v>16.1599</v>
      </c>
      <c r="C793" t="str">
        <f t="shared" si="16"/>
        <v>16</v>
      </c>
    </row>
    <row r="794" spans="1:3" x14ac:dyDescent="0.25">
      <c r="A794" t="s">
        <v>643</v>
      </c>
      <c r="B794" t="str">
        <f>"16.16"</f>
        <v>16.16</v>
      </c>
      <c r="C794" t="str">
        <f t="shared" si="16"/>
        <v>16</v>
      </c>
    </row>
    <row r="795" spans="1:3" x14ac:dyDescent="0.25">
      <c r="A795" t="s">
        <v>644</v>
      </c>
      <c r="B795" t="str">
        <f>"16.1601"</f>
        <v>16.1601</v>
      </c>
      <c r="C795" t="str">
        <f t="shared" si="16"/>
        <v>16</v>
      </c>
    </row>
    <row r="796" spans="1:3" x14ac:dyDescent="0.25">
      <c r="A796" t="s">
        <v>645</v>
      </c>
      <c r="B796" t="str">
        <f>"16.1602"</f>
        <v>16.1602</v>
      </c>
      <c r="C796" t="str">
        <f t="shared" si="16"/>
        <v>16</v>
      </c>
    </row>
    <row r="797" spans="1:3" x14ac:dyDescent="0.25">
      <c r="A797" t="s">
        <v>646</v>
      </c>
      <c r="B797" t="str">
        <f>"16.1603"</f>
        <v>16.1603</v>
      </c>
      <c r="C797" t="str">
        <f t="shared" si="16"/>
        <v>16</v>
      </c>
    </row>
    <row r="798" spans="1:3" x14ac:dyDescent="0.25">
      <c r="A798" t="s">
        <v>647</v>
      </c>
      <c r="B798" t="str">
        <f>"16.1699"</f>
        <v>16.1699</v>
      </c>
      <c r="C798" t="str">
        <f t="shared" si="16"/>
        <v>16</v>
      </c>
    </row>
    <row r="799" spans="1:3" x14ac:dyDescent="0.25">
      <c r="A799" t="s">
        <v>967</v>
      </c>
      <c r="B799" t="str">
        <f>"16.17"</f>
        <v>16.17</v>
      </c>
      <c r="C799" t="str">
        <f t="shared" si="16"/>
        <v>16</v>
      </c>
    </row>
    <row r="800" spans="1:3" x14ac:dyDescent="0.25">
      <c r="A800" t="s">
        <v>1925</v>
      </c>
      <c r="B800" t="str">
        <f>"16.1701"</f>
        <v>16.1701</v>
      </c>
      <c r="C800" t="str">
        <f t="shared" si="16"/>
        <v>16</v>
      </c>
    </row>
    <row r="801" spans="1:3" x14ac:dyDescent="0.25">
      <c r="A801" t="s">
        <v>1793</v>
      </c>
      <c r="B801" t="str">
        <f>"16.1702"</f>
        <v>16.1702</v>
      </c>
      <c r="C801" t="str">
        <f t="shared" si="16"/>
        <v>16</v>
      </c>
    </row>
    <row r="802" spans="1:3" x14ac:dyDescent="0.25">
      <c r="A802" t="s">
        <v>1793</v>
      </c>
      <c r="B802" t="str">
        <f>"16.1799"</f>
        <v>16.1799</v>
      </c>
      <c r="C802" t="str">
        <f t="shared" si="16"/>
        <v>16</v>
      </c>
    </row>
    <row r="803" spans="1:3" x14ac:dyDescent="0.25">
      <c r="A803" t="s">
        <v>1926</v>
      </c>
      <c r="B803" t="str">
        <f>"16.18"</f>
        <v>16.18</v>
      </c>
      <c r="C803" t="str">
        <f t="shared" si="16"/>
        <v>16</v>
      </c>
    </row>
    <row r="804" spans="1:3" x14ac:dyDescent="0.25">
      <c r="A804" t="s">
        <v>1927</v>
      </c>
      <c r="B804" t="str">
        <f>"16.1801"</f>
        <v>16.1801</v>
      </c>
      <c r="C804" t="str">
        <f t="shared" si="16"/>
        <v>16</v>
      </c>
    </row>
    <row r="805" spans="1:3" x14ac:dyDescent="0.25">
      <c r="A805" t="s">
        <v>648</v>
      </c>
      <c r="B805" t="str">
        <f>"16.99"</f>
        <v>16.99</v>
      </c>
      <c r="C805" t="str">
        <f t="shared" si="16"/>
        <v>16</v>
      </c>
    </row>
    <row r="806" spans="1:3" x14ac:dyDescent="0.25">
      <c r="A806" t="s">
        <v>648</v>
      </c>
      <c r="B806" t="str">
        <f>"16.9999"</f>
        <v>16.9999</v>
      </c>
      <c r="C806" t="str">
        <f t="shared" si="16"/>
        <v>16</v>
      </c>
    </row>
    <row r="807" spans="1:3" x14ac:dyDescent="0.25">
      <c r="A807" t="s">
        <v>649</v>
      </c>
      <c r="B807" t="str">
        <f>"19"</f>
        <v>19</v>
      </c>
      <c r="C807" t="str">
        <f>"19"</f>
        <v>19</v>
      </c>
    </row>
    <row r="808" spans="1:3" x14ac:dyDescent="0.25">
      <c r="A808" t="s">
        <v>650</v>
      </c>
      <c r="B808" t="str">
        <f>"19.00"</f>
        <v>19.00</v>
      </c>
      <c r="C808" t="str">
        <f t="shared" ref="C808:C854" si="17">"19"</f>
        <v>19</v>
      </c>
    </row>
    <row r="809" spans="1:3" x14ac:dyDescent="0.25">
      <c r="A809" t="s">
        <v>650</v>
      </c>
      <c r="B809" t="str">
        <f>"19.0000"</f>
        <v>19.0000</v>
      </c>
      <c r="C809" t="str">
        <f t="shared" si="17"/>
        <v>19</v>
      </c>
    </row>
    <row r="810" spans="1:3" x14ac:dyDescent="0.25">
      <c r="A810" t="s">
        <v>651</v>
      </c>
      <c r="B810" t="str">
        <f>"19.01"</f>
        <v>19.01</v>
      </c>
      <c r="C810" t="str">
        <f t="shared" si="17"/>
        <v>19</v>
      </c>
    </row>
    <row r="811" spans="1:3" x14ac:dyDescent="0.25">
      <c r="A811" t="s">
        <v>651</v>
      </c>
      <c r="B811" t="str">
        <f>"19.0101"</f>
        <v>19.0101</v>
      </c>
      <c r="C811" t="str">
        <f t="shared" si="17"/>
        <v>19</v>
      </c>
    </row>
    <row r="812" spans="1:3" x14ac:dyDescent="0.25">
      <c r="A812" t="s">
        <v>652</v>
      </c>
      <c r="B812" t="str">
        <f>"19.02"</f>
        <v>19.02</v>
      </c>
      <c r="C812" t="str">
        <f t="shared" si="17"/>
        <v>19</v>
      </c>
    </row>
    <row r="813" spans="1:3" x14ac:dyDescent="0.25">
      <c r="A813" t="s">
        <v>653</v>
      </c>
      <c r="B813" t="str">
        <f>"19.0201"</f>
        <v>19.0201</v>
      </c>
      <c r="C813" t="str">
        <f t="shared" si="17"/>
        <v>19</v>
      </c>
    </row>
    <row r="814" spans="1:3" x14ac:dyDescent="0.25">
      <c r="A814" t="s">
        <v>654</v>
      </c>
      <c r="B814" t="str">
        <f>"19.0202"</f>
        <v>19.0202</v>
      </c>
      <c r="C814" t="str">
        <f t="shared" si="17"/>
        <v>19</v>
      </c>
    </row>
    <row r="815" spans="1:3" x14ac:dyDescent="0.25">
      <c r="A815" t="s">
        <v>655</v>
      </c>
      <c r="B815" t="str">
        <f>"19.0203"</f>
        <v>19.0203</v>
      </c>
      <c r="C815" t="str">
        <f t="shared" si="17"/>
        <v>19</v>
      </c>
    </row>
    <row r="816" spans="1:3" x14ac:dyDescent="0.25">
      <c r="A816" t="s">
        <v>656</v>
      </c>
      <c r="B816" t="str">
        <f>"19.0299"</f>
        <v>19.0299</v>
      </c>
      <c r="C816" t="str">
        <f t="shared" si="17"/>
        <v>19</v>
      </c>
    </row>
    <row r="817" spans="1:3" x14ac:dyDescent="0.25">
      <c r="A817" t="s">
        <v>657</v>
      </c>
      <c r="B817" t="str">
        <f>"19.04"</f>
        <v>19.04</v>
      </c>
      <c r="C817" t="str">
        <f t="shared" si="17"/>
        <v>19</v>
      </c>
    </row>
    <row r="818" spans="1:3" x14ac:dyDescent="0.25">
      <c r="A818" t="s">
        <v>658</v>
      </c>
      <c r="B818" t="str">
        <f>"19.0401"</f>
        <v>19.0401</v>
      </c>
      <c r="C818" t="str">
        <f t="shared" si="17"/>
        <v>19</v>
      </c>
    </row>
    <row r="819" spans="1:3" x14ac:dyDescent="0.25">
      <c r="A819" t="s">
        <v>659</v>
      </c>
      <c r="B819" t="str">
        <f>"19.0402"</f>
        <v>19.0402</v>
      </c>
      <c r="C819" t="str">
        <f t="shared" si="17"/>
        <v>19</v>
      </c>
    </row>
    <row r="820" spans="1:3" x14ac:dyDescent="0.25">
      <c r="A820" t="s">
        <v>660</v>
      </c>
      <c r="B820" t="str">
        <f>"19.0403"</f>
        <v>19.0403</v>
      </c>
      <c r="C820" t="str">
        <f t="shared" si="17"/>
        <v>19</v>
      </c>
    </row>
    <row r="821" spans="1:3" x14ac:dyDescent="0.25">
      <c r="A821" t="s">
        <v>661</v>
      </c>
      <c r="B821" t="str">
        <f>"19.0499"</f>
        <v>19.0499</v>
      </c>
      <c r="C821" t="str">
        <f t="shared" si="17"/>
        <v>19</v>
      </c>
    </row>
    <row r="822" spans="1:3" x14ac:dyDescent="0.25">
      <c r="A822" t="s">
        <v>662</v>
      </c>
      <c r="B822" t="str">
        <f>"19.05"</f>
        <v>19.05</v>
      </c>
      <c r="C822" t="str">
        <f t="shared" si="17"/>
        <v>19</v>
      </c>
    </row>
    <row r="823" spans="1:3" x14ac:dyDescent="0.25">
      <c r="A823" t="s">
        <v>663</v>
      </c>
      <c r="B823" t="str">
        <f>"19.0501"</f>
        <v>19.0501</v>
      </c>
      <c r="C823" t="str">
        <f t="shared" si="17"/>
        <v>19</v>
      </c>
    </row>
    <row r="824" spans="1:3" x14ac:dyDescent="0.25">
      <c r="A824" t="s">
        <v>664</v>
      </c>
      <c r="B824" t="str">
        <f>"19.0504"</f>
        <v>19.0504</v>
      </c>
      <c r="C824" t="str">
        <f t="shared" si="17"/>
        <v>19</v>
      </c>
    </row>
    <row r="825" spans="1:3" x14ac:dyDescent="0.25">
      <c r="A825" t="s">
        <v>665</v>
      </c>
      <c r="B825" t="str">
        <f>"19.0505"</f>
        <v>19.0505</v>
      </c>
      <c r="C825" t="str">
        <f t="shared" si="17"/>
        <v>19</v>
      </c>
    </row>
    <row r="826" spans="1:3" x14ac:dyDescent="0.25">
      <c r="A826" t="s">
        <v>666</v>
      </c>
      <c r="B826" t="str">
        <f>"19.0599"</f>
        <v>19.0599</v>
      </c>
      <c r="C826" t="str">
        <f t="shared" si="17"/>
        <v>19</v>
      </c>
    </row>
    <row r="827" spans="1:3" x14ac:dyDescent="0.25">
      <c r="A827" t="s">
        <v>667</v>
      </c>
      <c r="B827" t="str">
        <f>"19.06"</f>
        <v>19.06</v>
      </c>
      <c r="C827" t="str">
        <f t="shared" si="17"/>
        <v>19</v>
      </c>
    </row>
    <row r="828" spans="1:3" x14ac:dyDescent="0.25">
      <c r="A828" t="s">
        <v>668</v>
      </c>
      <c r="B828" t="str">
        <f>"19.0601"</f>
        <v>19.0601</v>
      </c>
      <c r="C828" t="str">
        <f t="shared" si="17"/>
        <v>19</v>
      </c>
    </row>
    <row r="829" spans="1:3" x14ac:dyDescent="0.25">
      <c r="A829" t="s">
        <v>669</v>
      </c>
      <c r="B829" t="str">
        <f>"19.0604"</f>
        <v>19.0604</v>
      </c>
      <c r="C829" t="str">
        <f t="shared" si="17"/>
        <v>19</v>
      </c>
    </row>
    <row r="830" spans="1:3" x14ac:dyDescent="0.25">
      <c r="A830" t="s">
        <v>670</v>
      </c>
      <c r="B830" t="str">
        <f>"19.0605"</f>
        <v>19.0605</v>
      </c>
      <c r="C830" t="str">
        <f t="shared" si="17"/>
        <v>19</v>
      </c>
    </row>
    <row r="831" spans="1:3" x14ac:dyDescent="0.25">
      <c r="A831" t="s">
        <v>671</v>
      </c>
      <c r="B831" t="str">
        <f>"19.0699"</f>
        <v>19.0699</v>
      </c>
      <c r="C831" t="str">
        <f t="shared" si="17"/>
        <v>19</v>
      </c>
    </row>
    <row r="832" spans="1:3" x14ac:dyDescent="0.25">
      <c r="A832" t="s">
        <v>672</v>
      </c>
      <c r="B832" t="str">
        <f>"19.07"</f>
        <v>19.07</v>
      </c>
      <c r="C832" t="str">
        <f t="shared" si="17"/>
        <v>19</v>
      </c>
    </row>
    <row r="833" spans="1:3" x14ac:dyDescent="0.25">
      <c r="A833" t="s">
        <v>673</v>
      </c>
      <c r="B833" t="str">
        <f>"19.0701"</f>
        <v>19.0701</v>
      </c>
      <c r="C833" t="str">
        <f t="shared" si="17"/>
        <v>19</v>
      </c>
    </row>
    <row r="834" spans="1:3" x14ac:dyDescent="0.25">
      <c r="A834" t="s">
        <v>674</v>
      </c>
      <c r="B834" t="str">
        <f>"19.0702"</f>
        <v>19.0702</v>
      </c>
      <c r="C834" t="str">
        <f t="shared" si="17"/>
        <v>19</v>
      </c>
    </row>
    <row r="835" spans="1:3" x14ac:dyDescent="0.25">
      <c r="A835" t="s">
        <v>675</v>
      </c>
      <c r="B835" t="str">
        <f>"19.0704"</f>
        <v>19.0704</v>
      </c>
      <c r="C835" t="str">
        <f t="shared" si="17"/>
        <v>19</v>
      </c>
    </row>
    <row r="836" spans="1:3" x14ac:dyDescent="0.25">
      <c r="A836" t="s">
        <v>676</v>
      </c>
      <c r="B836" t="str">
        <f>"19.0706"</f>
        <v>19.0706</v>
      </c>
      <c r="C836" t="str">
        <f t="shared" si="17"/>
        <v>19</v>
      </c>
    </row>
    <row r="837" spans="1:3" x14ac:dyDescent="0.25">
      <c r="A837" t="s">
        <v>677</v>
      </c>
      <c r="B837" t="str">
        <f>"19.0707"</f>
        <v>19.0707</v>
      </c>
      <c r="C837" t="str">
        <f t="shared" si="17"/>
        <v>19</v>
      </c>
    </row>
    <row r="838" spans="1:3" x14ac:dyDescent="0.25">
      <c r="A838" t="s">
        <v>678</v>
      </c>
      <c r="B838" t="str">
        <f>"19.0708"</f>
        <v>19.0708</v>
      </c>
      <c r="C838" t="str">
        <f t="shared" si="17"/>
        <v>19</v>
      </c>
    </row>
    <row r="839" spans="1:3" x14ac:dyDescent="0.25">
      <c r="A839" t="s">
        <v>679</v>
      </c>
      <c r="B839" t="str">
        <f>"19.0709"</f>
        <v>19.0709</v>
      </c>
      <c r="C839" t="str">
        <f t="shared" si="17"/>
        <v>19</v>
      </c>
    </row>
    <row r="840" spans="1:3" x14ac:dyDescent="0.25">
      <c r="A840" t="s">
        <v>680</v>
      </c>
      <c r="B840" t="str">
        <f>"19.0710"</f>
        <v>19.0710</v>
      </c>
      <c r="C840" t="str">
        <f t="shared" si="17"/>
        <v>19</v>
      </c>
    </row>
    <row r="841" spans="1:3" x14ac:dyDescent="0.25">
      <c r="A841" t="s">
        <v>1928</v>
      </c>
      <c r="B841" t="str">
        <f>"19.0711"</f>
        <v>19.0711</v>
      </c>
      <c r="C841" t="str">
        <f t="shared" si="17"/>
        <v>19</v>
      </c>
    </row>
    <row r="842" spans="1:3" x14ac:dyDescent="0.25">
      <c r="A842" t="s">
        <v>1929</v>
      </c>
      <c r="B842" t="str">
        <f>"19.0712"</f>
        <v>19.0712</v>
      </c>
      <c r="C842" t="str">
        <f t="shared" si="17"/>
        <v>19</v>
      </c>
    </row>
    <row r="843" spans="1:3" x14ac:dyDescent="0.25">
      <c r="A843" t="s">
        <v>681</v>
      </c>
      <c r="B843" t="str">
        <f>"19.0799"</f>
        <v>19.0799</v>
      </c>
      <c r="C843" t="str">
        <f t="shared" si="17"/>
        <v>19</v>
      </c>
    </row>
    <row r="844" spans="1:3" x14ac:dyDescent="0.25">
      <c r="A844" t="s">
        <v>682</v>
      </c>
      <c r="B844" t="str">
        <f>"19.09"</f>
        <v>19.09</v>
      </c>
      <c r="C844" t="str">
        <f t="shared" si="17"/>
        <v>19</v>
      </c>
    </row>
    <row r="845" spans="1:3" x14ac:dyDescent="0.25">
      <c r="A845" t="s">
        <v>683</v>
      </c>
      <c r="B845" t="str">
        <f>"19.0901"</f>
        <v>19.0901</v>
      </c>
      <c r="C845" t="str">
        <f t="shared" si="17"/>
        <v>19</v>
      </c>
    </row>
    <row r="846" spans="1:3" x14ac:dyDescent="0.25">
      <c r="A846" t="s">
        <v>684</v>
      </c>
      <c r="B846" t="str">
        <f>"19.0902"</f>
        <v>19.0902</v>
      </c>
      <c r="C846" t="str">
        <f t="shared" si="17"/>
        <v>19</v>
      </c>
    </row>
    <row r="847" spans="1:3" x14ac:dyDescent="0.25">
      <c r="A847" t="s">
        <v>685</v>
      </c>
      <c r="B847" t="str">
        <f>"19.0904"</f>
        <v>19.0904</v>
      </c>
      <c r="C847" t="str">
        <f t="shared" si="17"/>
        <v>19</v>
      </c>
    </row>
    <row r="848" spans="1:3" x14ac:dyDescent="0.25">
      <c r="A848" t="s">
        <v>686</v>
      </c>
      <c r="B848" t="str">
        <f>"19.0905"</f>
        <v>19.0905</v>
      </c>
      <c r="C848" t="str">
        <f t="shared" si="17"/>
        <v>19</v>
      </c>
    </row>
    <row r="849" spans="1:3" x14ac:dyDescent="0.25">
      <c r="A849" t="s">
        <v>687</v>
      </c>
      <c r="B849" t="str">
        <f>"19.0906"</f>
        <v>19.0906</v>
      </c>
      <c r="C849" t="str">
        <f t="shared" si="17"/>
        <v>19</v>
      </c>
    </row>
    <row r="850" spans="1:3" x14ac:dyDescent="0.25">
      <c r="A850" t="s">
        <v>688</v>
      </c>
      <c r="B850" t="str">
        <f>"19.0999"</f>
        <v>19.0999</v>
      </c>
      <c r="C850" t="str">
        <f t="shared" si="17"/>
        <v>19</v>
      </c>
    </row>
    <row r="851" spans="1:3" x14ac:dyDescent="0.25">
      <c r="A851" t="s">
        <v>650</v>
      </c>
      <c r="B851" t="str">
        <f>"19.10"</f>
        <v>19.10</v>
      </c>
      <c r="C851" t="str">
        <f t="shared" si="17"/>
        <v>19</v>
      </c>
    </row>
    <row r="852" spans="1:3" x14ac:dyDescent="0.25">
      <c r="A852" t="s">
        <v>650</v>
      </c>
      <c r="B852" t="str">
        <f>"19.1001"</f>
        <v>19.1001</v>
      </c>
      <c r="C852" t="str">
        <f t="shared" si="17"/>
        <v>19</v>
      </c>
    </row>
    <row r="853" spans="1:3" x14ac:dyDescent="0.25">
      <c r="A853" t="s">
        <v>689</v>
      </c>
      <c r="B853" t="str">
        <f>"19.99"</f>
        <v>19.99</v>
      </c>
      <c r="C853" t="str">
        <f t="shared" si="17"/>
        <v>19</v>
      </c>
    </row>
    <row r="854" spans="1:3" x14ac:dyDescent="0.25">
      <c r="A854" t="s">
        <v>689</v>
      </c>
      <c r="B854" t="str">
        <f>"19.9999"</f>
        <v>19.9999</v>
      </c>
      <c r="C854" t="str">
        <f t="shared" si="17"/>
        <v>19</v>
      </c>
    </row>
    <row r="855" spans="1:3" x14ac:dyDescent="0.25">
      <c r="A855" t="s">
        <v>1930</v>
      </c>
      <c r="B855" t="str">
        <f>"21"</f>
        <v>21</v>
      </c>
      <c r="C855" t="str">
        <f>"21"</f>
        <v>21</v>
      </c>
    </row>
    <row r="856" spans="1:3" x14ac:dyDescent="0.25">
      <c r="A856" t="s">
        <v>1793</v>
      </c>
      <c r="B856" t="str">
        <f>"21.01"</f>
        <v>21.01</v>
      </c>
      <c r="C856" t="str">
        <f>"21"</f>
        <v>21</v>
      </c>
    </row>
    <row r="857" spans="1:3" x14ac:dyDescent="0.25">
      <c r="A857" t="s">
        <v>1793</v>
      </c>
      <c r="B857" t="str">
        <f>"21.0101"</f>
        <v>21.0101</v>
      </c>
      <c r="C857" t="str">
        <f>"21"</f>
        <v>21</v>
      </c>
    </row>
    <row r="858" spans="1:3" x14ac:dyDescent="0.25">
      <c r="A858" t="s">
        <v>690</v>
      </c>
      <c r="B858" t="str">
        <f>"22"</f>
        <v>22</v>
      </c>
      <c r="C858" t="str">
        <f>"22"</f>
        <v>22</v>
      </c>
    </row>
    <row r="859" spans="1:3" x14ac:dyDescent="0.25">
      <c r="A859" t="s">
        <v>1931</v>
      </c>
      <c r="B859" t="str">
        <f>"22.00"</f>
        <v>22.00</v>
      </c>
      <c r="C859" t="str">
        <f t="shared" ref="C859:C899" si="18">"22"</f>
        <v>22</v>
      </c>
    </row>
    <row r="860" spans="1:3" x14ac:dyDescent="0.25">
      <c r="A860" t="s">
        <v>1932</v>
      </c>
      <c r="B860" t="str">
        <f>"22.0000"</f>
        <v>22.0000</v>
      </c>
      <c r="C860" t="str">
        <f t="shared" si="18"/>
        <v>22</v>
      </c>
    </row>
    <row r="861" spans="1:3" x14ac:dyDescent="0.25">
      <c r="A861" t="s">
        <v>691</v>
      </c>
      <c r="B861" t="str">
        <f>"22.0001"</f>
        <v>22.0001</v>
      </c>
      <c r="C861" t="str">
        <f t="shared" si="18"/>
        <v>22</v>
      </c>
    </row>
    <row r="862" spans="1:3" x14ac:dyDescent="0.25">
      <c r="A862" t="s">
        <v>1933</v>
      </c>
      <c r="B862" t="str">
        <f>"22.0099"</f>
        <v>22.0099</v>
      </c>
      <c r="C862" t="str">
        <f t="shared" si="18"/>
        <v>22</v>
      </c>
    </row>
    <row r="863" spans="1:3" x14ac:dyDescent="0.25">
      <c r="A863" t="s">
        <v>692</v>
      </c>
      <c r="B863" t="str">
        <f>"22.01"</f>
        <v>22.01</v>
      </c>
      <c r="C863" t="str">
        <f t="shared" si="18"/>
        <v>22</v>
      </c>
    </row>
    <row r="864" spans="1:3" x14ac:dyDescent="0.25">
      <c r="A864" t="s">
        <v>692</v>
      </c>
      <c r="B864" t="str">
        <f>"22.0101"</f>
        <v>22.0101</v>
      </c>
      <c r="C864" t="str">
        <f t="shared" si="18"/>
        <v>22</v>
      </c>
    </row>
    <row r="865" spans="1:3" x14ac:dyDescent="0.25">
      <c r="A865" t="s">
        <v>693</v>
      </c>
      <c r="B865" t="str">
        <f>"22.02"</f>
        <v>22.02</v>
      </c>
      <c r="C865" t="str">
        <f t="shared" si="18"/>
        <v>22</v>
      </c>
    </row>
    <row r="866" spans="1:3" x14ac:dyDescent="0.25">
      <c r="A866" t="s">
        <v>694</v>
      </c>
      <c r="B866" t="str">
        <f>"22.0201"</f>
        <v>22.0201</v>
      </c>
      <c r="C866" t="str">
        <f t="shared" si="18"/>
        <v>22</v>
      </c>
    </row>
    <row r="867" spans="1:3" x14ac:dyDescent="0.25">
      <c r="A867" t="s">
        <v>695</v>
      </c>
      <c r="B867" t="str">
        <f>"22.0202"</f>
        <v>22.0202</v>
      </c>
      <c r="C867" t="str">
        <f t="shared" si="18"/>
        <v>22</v>
      </c>
    </row>
    <row r="868" spans="1:3" x14ac:dyDescent="0.25">
      <c r="A868" t="s">
        <v>696</v>
      </c>
      <c r="B868" t="str">
        <f>"22.0203"</f>
        <v>22.0203</v>
      </c>
      <c r="C868" t="str">
        <f t="shared" si="18"/>
        <v>22</v>
      </c>
    </row>
    <row r="869" spans="1:3" x14ac:dyDescent="0.25">
      <c r="A869" t="s">
        <v>697</v>
      </c>
      <c r="B869" t="str">
        <f>"22.0204"</f>
        <v>22.0204</v>
      </c>
      <c r="C869" t="str">
        <f t="shared" si="18"/>
        <v>22</v>
      </c>
    </row>
    <row r="870" spans="1:3" x14ac:dyDescent="0.25">
      <c r="A870" t="s">
        <v>698</v>
      </c>
      <c r="B870" t="str">
        <f>"22.0205"</f>
        <v>22.0205</v>
      </c>
      <c r="C870" t="str">
        <f t="shared" si="18"/>
        <v>22</v>
      </c>
    </row>
    <row r="871" spans="1:3" x14ac:dyDescent="0.25">
      <c r="A871" t="s">
        <v>699</v>
      </c>
      <c r="B871" t="str">
        <f>"22.0206"</f>
        <v>22.0206</v>
      </c>
      <c r="C871" t="str">
        <f t="shared" si="18"/>
        <v>22</v>
      </c>
    </row>
    <row r="872" spans="1:3" x14ac:dyDescent="0.25">
      <c r="A872" t="s">
        <v>700</v>
      </c>
      <c r="B872" t="str">
        <f>"22.0207"</f>
        <v>22.0207</v>
      </c>
      <c r="C872" t="str">
        <f t="shared" si="18"/>
        <v>22</v>
      </c>
    </row>
    <row r="873" spans="1:3" x14ac:dyDescent="0.25">
      <c r="A873" t="s">
        <v>701</v>
      </c>
      <c r="B873" t="str">
        <f>"22.0208"</f>
        <v>22.0208</v>
      </c>
      <c r="C873" t="str">
        <f t="shared" si="18"/>
        <v>22</v>
      </c>
    </row>
    <row r="874" spans="1:3" x14ac:dyDescent="0.25">
      <c r="A874" t="s">
        <v>702</v>
      </c>
      <c r="B874" t="str">
        <f>"22.0209"</f>
        <v>22.0209</v>
      </c>
      <c r="C874" t="str">
        <f t="shared" si="18"/>
        <v>22</v>
      </c>
    </row>
    <row r="875" spans="1:3" x14ac:dyDescent="0.25">
      <c r="A875" t="s">
        <v>703</v>
      </c>
      <c r="B875" t="str">
        <f>"22.0210"</f>
        <v>22.0210</v>
      </c>
      <c r="C875" t="str">
        <f t="shared" si="18"/>
        <v>22</v>
      </c>
    </row>
    <row r="876" spans="1:3" x14ac:dyDescent="0.25">
      <c r="A876" t="s">
        <v>704</v>
      </c>
      <c r="B876" t="str">
        <f>"22.0211"</f>
        <v>22.0211</v>
      </c>
      <c r="C876" t="str">
        <f t="shared" si="18"/>
        <v>22</v>
      </c>
    </row>
    <row r="877" spans="1:3" x14ac:dyDescent="0.25">
      <c r="A877" t="s">
        <v>705</v>
      </c>
      <c r="B877" t="str">
        <f>"22.0212"</f>
        <v>22.0212</v>
      </c>
      <c r="C877" t="str">
        <f t="shared" si="18"/>
        <v>22</v>
      </c>
    </row>
    <row r="878" spans="1:3" x14ac:dyDescent="0.25">
      <c r="A878" t="s">
        <v>1934</v>
      </c>
      <c r="B878" t="str">
        <f>"22.0213"</f>
        <v>22.0213</v>
      </c>
      <c r="C878" t="str">
        <f t="shared" si="18"/>
        <v>22</v>
      </c>
    </row>
    <row r="879" spans="1:3" x14ac:dyDescent="0.25">
      <c r="A879" t="s">
        <v>1935</v>
      </c>
      <c r="B879" t="str">
        <f>"22.0214"</f>
        <v>22.0214</v>
      </c>
      <c r="C879" t="str">
        <f t="shared" si="18"/>
        <v>22</v>
      </c>
    </row>
    <row r="880" spans="1:3" x14ac:dyDescent="0.25">
      <c r="A880" t="s">
        <v>1936</v>
      </c>
      <c r="B880" t="str">
        <f>"22.0215"</f>
        <v>22.0215</v>
      </c>
      <c r="C880" t="str">
        <f t="shared" si="18"/>
        <v>22</v>
      </c>
    </row>
    <row r="881" spans="1:3" x14ac:dyDescent="0.25">
      <c r="A881" t="s">
        <v>1937</v>
      </c>
      <c r="B881" t="str">
        <f>"22.0216"</f>
        <v>22.0216</v>
      </c>
      <c r="C881" t="str">
        <f t="shared" si="18"/>
        <v>22</v>
      </c>
    </row>
    <row r="882" spans="1:3" x14ac:dyDescent="0.25">
      <c r="A882" t="s">
        <v>1938</v>
      </c>
      <c r="B882" t="str">
        <f>"22.0217"</f>
        <v>22.0217</v>
      </c>
      <c r="C882" t="str">
        <f t="shared" si="18"/>
        <v>22</v>
      </c>
    </row>
    <row r="883" spans="1:3" x14ac:dyDescent="0.25">
      <c r="A883" t="s">
        <v>1939</v>
      </c>
      <c r="B883" t="str">
        <f>"22.0218"</f>
        <v>22.0218</v>
      </c>
      <c r="C883" t="str">
        <f t="shared" si="18"/>
        <v>22</v>
      </c>
    </row>
    <row r="884" spans="1:3" x14ac:dyDescent="0.25">
      <c r="A884" t="s">
        <v>1940</v>
      </c>
      <c r="B884" t="str">
        <f>"22.0219"</f>
        <v>22.0219</v>
      </c>
      <c r="C884" t="str">
        <f t="shared" si="18"/>
        <v>22</v>
      </c>
    </row>
    <row r="885" spans="1:3" x14ac:dyDescent="0.25">
      <c r="A885" t="s">
        <v>1941</v>
      </c>
      <c r="B885" t="str">
        <f>"22.0220"</f>
        <v>22.0220</v>
      </c>
      <c r="C885" t="str">
        <f t="shared" si="18"/>
        <v>22</v>
      </c>
    </row>
    <row r="886" spans="1:3" x14ac:dyDescent="0.25">
      <c r="A886" t="s">
        <v>1942</v>
      </c>
      <c r="B886" t="str">
        <f>"22.0221"</f>
        <v>22.0221</v>
      </c>
      <c r="C886" t="str">
        <f t="shared" si="18"/>
        <v>22</v>
      </c>
    </row>
    <row r="887" spans="1:3" x14ac:dyDescent="0.25">
      <c r="A887" t="s">
        <v>1943</v>
      </c>
      <c r="B887" t="str">
        <f>"22.0222"</f>
        <v>22.0222</v>
      </c>
      <c r="C887" t="str">
        <f t="shared" si="18"/>
        <v>22</v>
      </c>
    </row>
    <row r="888" spans="1:3" x14ac:dyDescent="0.25">
      <c r="A888" t="s">
        <v>1944</v>
      </c>
      <c r="B888" t="str">
        <f>"22.0223"</f>
        <v>22.0223</v>
      </c>
      <c r="C888" t="str">
        <f t="shared" si="18"/>
        <v>22</v>
      </c>
    </row>
    <row r="889" spans="1:3" x14ac:dyDescent="0.25">
      <c r="A889" t="s">
        <v>1945</v>
      </c>
      <c r="B889" t="str">
        <f>"22.0224"</f>
        <v>22.0224</v>
      </c>
      <c r="C889" t="str">
        <f t="shared" si="18"/>
        <v>22</v>
      </c>
    </row>
    <row r="890" spans="1:3" x14ac:dyDescent="0.25">
      <c r="A890" t="s">
        <v>706</v>
      </c>
      <c r="B890" t="str">
        <f>"22.0299"</f>
        <v>22.0299</v>
      </c>
      <c r="C890" t="str">
        <f t="shared" si="18"/>
        <v>22</v>
      </c>
    </row>
    <row r="891" spans="1:3" x14ac:dyDescent="0.25">
      <c r="A891" t="s">
        <v>707</v>
      </c>
      <c r="B891" t="str">
        <f>"22.03"</f>
        <v>22.03</v>
      </c>
      <c r="C891" t="str">
        <f t="shared" si="18"/>
        <v>22</v>
      </c>
    </row>
    <row r="892" spans="1:3" x14ac:dyDescent="0.25">
      <c r="A892" t="s">
        <v>708</v>
      </c>
      <c r="B892" t="str">
        <f>"22.0301"</f>
        <v>22.0301</v>
      </c>
      <c r="C892" t="str">
        <f t="shared" si="18"/>
        <v>22</v>
      </c>
    </row>
    <row r="893" spans="1:3" x14ac:dyDescent="0.25">
      <c r="A893" t="s">
        <v>709</v>
      </c>
      <c r="B893" t="str">
        <f>"22.0302"</f>
        <v>22.0302</v>
      </c>
      <c r="C893" t="str">
        <f t="shared" si="18"/>
        <v>22</v>
      </c>
    </row>
    <row r="894" spans="1:3" x14ac:dyDescent="0.25">
      <c r="A894" t="s">
        <v>1946</v>
      </c>
      <c r="B894" t="str">
        <f>"22.0303"</f>
        <v>22.0303</v>
      </c>
      <c r="C894" t="str">
        <f t="shared" si="18"/>
        <v>22</v>
      </c>
    </row>
    <row r="895" spans="1:3" x14ac:dyDescent="0.25">
      <c r="A895" t="s">
        <v>1947</v>
      </c>
      <c r="B895" t="str">
        <f>"22.0304"</f>
        <v>22.0304</v>
      </c>
      <c r="C895" t="str">
        <f t="shared" si="18"/>
        <v>22</v>
      </c>
    </row>
    <row r="896" spans="1:3" x14ac:dyDescent="0.25">
      <c r="A896" t="s">
        <v>1948</v>
      </c>
      <c r="B896" t="str">
        <f>"22.0305"</f>
        <v>22.0305</v>
      </c>
      <c r="C896" t="str">
        <f t="shared" si="18"/>
        <v>22</v>
      </c>
    </row>
    <row r="897" spans="1:3" x14ac:dyDescent="0.25">
      <c r="A897" t="s">
        <v>710</v>
      </c>
      <c r="B897" t="str">
        <f>"22.0399"</f>
        <v>22.0399</v>
      </c>
      <c r="C897" t="str">
        <f t="shared" si="18"/>
        <v>22</v>
      </c>
    </row>
    <row r="898" spans="1:3" x14ac:dyDescent="0.25">
      <c r="A898" t="s">
        <v>711</v>
      </c>
      <c r="B898" t="str">
        <f>"22.99"</f>
        <v>22.99</v>
      </c>
      <c r="C898" t="str">
        <f t="shared" si="18"/>
        <v>22</v>
      </c>
    </row>
    <row r="899" spans="1:3" x14ac:dyDescent="0.25">
      <c r="A899" t="s">
        <v>711</v>
      </c>
      <c r="B899" t="str">
        <f>"22.9999"</f>
        <v>22.9999</v>
      </c>
      <c r="C899" t="str">
        <f t="shared" si="18"/>
        <v>22</v>
      </c>
    </row>
    <row r="900" spans="1:3" x14ac:dyDescent="0.25">
      <c r="A900" t="s">
        <v>712</v>
      </c>
      <c r="B900" t="str">
        <f>"23"</f>
        <v>23</v>
      </c>
      <c r="C900" t="str">
        <f>"23"</f>
        <v>23</v>
      </c>
    </row>
    <row r="901" spans="1:3" x14ac:dyDescent="0.25">
      <c r="A901" t="s">
        <v>713</v>
      </c>
      <c r="B901" t="str">
        <f>"23.01"</f>
        <v>23.01</v>
      </c>
      <c r="C901" t="str">
        <f t="shared" ref="C901:C917" si="19">"23"</f>
        <v>23</v>
      </c>
    </row>
    <row r="902" spans="1:3" x14ac:dyDescent="0.25">
      <c r="A902" t="s">
        <v>713</v>
      </c>
      <c r="B902" t="str">
        <f>"23.0101"</f>
        <v>23.0101</v>
      </c>
      <c r="C902" t="str">
        <f t="shared" si="19"/>
        <v>23</v>
      </c>
    </row>
    <row r="903" spans="1:3" x14ac:dyDescent="0.25">
      <c r="A903" t="s">
        <v>718</v>
      </c>
      <c r="B903" t="str">
        <f>"23.13"</f>
        <v>23.13</v>
      </c>
      <c r="C903" t="str">
        <f t="shared" si="19"/>
        <v>23</v>
      </c>
    </row>
    <row r="904" spans="1:3" x14ac:dyDescent="0.25">
      <c r="A904" t="s">
        <v>719</v>
      </c>
      <c r="B904" t="str">
        <f>"23.1301"</f>
        <v>23.1301</v>
      </c>
      <c r="C904" t="str">
        <f t="shared" si="19"/>
        <v>23</v>
      </c>
    </row>
    <row r="905" spans="1:3" x14ac:dyDescent="0.25">
      <c r="A905" t="s">
        <v>714</v>
      </c>
      <c r="B905" t="str">
        <f>"23.1302"</f>
        <v>23.1302</v>
      </c>
      <c r="C905" t="str">
        <f t="shared" si="19"/>
        <v>23</v>
      </c>
    </row>
    <row r="906" spans="1:3" x14ac:dyDescent="0.25">
      <c r="A906" t="s">
        <v>720</v>
      </c>
      <c r="B906" t="str">
        <f>"23.1303"</f>
        <v>23.1303</v>
      </c>
      <c r="C906" t="str">
        <f t="shared" si="19"/>
        <v>23</v>
      </c>
    </row>
    <row r="907" spans="1:3" x14ac:dyDescent="0.25">
      <c r="A907" t="s">
        <v>721</v>
      </c>
      <c r="B907" t="str">
        <f>"23.1304"</f>
        <v>23.1304</v>
      </c>
      <c r="C907" t="str">
        <f t="shared" si="19"/>
        <v>23</v>
      </c>
    </row>
    <row r="908" spans="1:3" x14ac:dyDescent="0.25">
      <c r="A908" t="s">
        <v>722</v>
      </c>
      <c r="B908" t="str">
        <f>"23.1399"</f>
        <v>23.1399</v>
      </c>
      <c r="C908" t="str">
        <f t="shared" si="19"/>
        <v>23</v>
      </c>
    </row>
    <row r="909" spans="1:3" x14ac:dyDescent="0.25">
      <c r="A909" t="s">
        <v>723</v>
      </c>
      <c r="B909" t="str">
        <f>"23.14"</f>
        <v>23.14</v>
      </c>
      <c r="C909" t="str">
        <f t="shared" si="19"/>
        <v>23</v>
      </c>
    </row>
    <row r="910" spans="1:3" x14ac:dyDescent="0.25">
      <c r="A910" t="s">
        <v>724</v>
      </c>
      <c r="B910" t="str">
        <f>"23.1401"</f>
        <v>23.1401</v>
      </c>
      <c r="C910" t="str">
        <f t="shared" si="19"/>
        <v>23</v>
      </c>
    </row>
    <row r="911" spans="1:3" x14ac:dyDescent="0.25">
      <c r="A911" t="s">
        <v>715</v>
      </c>
      <c r="B911" t="str">
        <f>"23.1402"</f>
        <v>23.1402</v>
      </c>
      <c r="C911" t="str">
        <f t="shared" si="19"/>
        <v>23</v>
      </c>
    </row>
    <row r="912" spans="1:3" x14ac:dyDescent="0.25">
      <c r="A912" t="s">
        <v>716</v>
      </c>
      <c r="B912" t="str">
        <f>"23.1403"</f>
        <v>23.1403</v>
      </c>
      <c r="C912" t="str">
        <f t="shared" si="19"/>
        <v>23</v>
      </c>
    </row>
    <row r="913" spans="1:3" x14ac:dyDescent="0.25">
      <c r="A913" t="s">
        <v>717</v>
      </c>
      <c r="B913" t="str">
        <f>"23.1404"</f>
        <v>23.1404</v>
      </c>
      <c r="C913" t="str">
        <f t="shared" si="19"/>
        <v>23</v>
      </c>
    </row>
    <row r="914" spans="1:3" x14ac:dyDescent="0.25">
      <c r="A914" t="s">
        <v>725</v>
      </c>
      <c r="B914" t="str">
        <f>"23.1405"</f>
        <v>23.1405</v>
      </c>
      <c r="C914" t="str">
        <f t="shared" si="19"/>
        <v>23</v>
      </c>
    </row>
    <row r="915" spans="1:3" x14ac:dyDescent="0.25">
      <c r="A915" t="s">
        <v>726</v>
      </c>
      <c r="B915" t="str">
        <f>"23.1499"</f>
        <v>23.1499</v>
      </c>
      <c r="C915" t="str">
        <f t="shared" si="19"/>
        <v>23</v>
      </c>
    </row>
    <row r="916" spans="1:3" x14ac:dyDescent="0.25">
      <c r="A916" t="s">
        <v>727</v>
      </c>
      <c r="B916" t="str">
        <f>"23.99"</f>
        <v>23.99</v>
      </c>
      <c r="C916" t="str">
        <f t="shared" si="19"/>
        <v>23</v>
      </c>
    </row>
    <row r="917" spans="1:3" x14ac:dyDescent="0.25">
      <c r="A917" t="s">
        <v>727</v>
      </c>
      <c r="B917" t="str">
        <f>"23.9999"</f>
        <v>23.9999</v>
      </c>
      <c r="C917" t="str">
        <f t="shared" si="19"/>
        <v>23</v>
      </c>
    </row>
    <row r="918" spans="1:3" x14ac:dyDescent="0.25">
      <c r="A918" t="s">
        <v>728</v>
      </c>
      <c r="B918" t="str">
        <f>"24"</f>
        <v>24</v>
      </c>
      <c r="C918" t="str">
        <f>"24"</f>
        <v>24</v>
      </c>
    </row>
    <row r="919" spans="1:3" x14ac:dyDescent="0.25">
      <c r="A919" t="s">
        <v>729</v>
      </c>
      <c r="B919" t="str">
        <f>"24.01"</f>
        <v>24.01</v>
      </c>
      <c r="C919" t="str">
        <f>"24"</f>
        <v>24</v>
      </c>
    </row>
    <row r="920" spans="1:3" x14ac:dyDescent="0.25">
      <c r="A920" t="s">
        <v>730</v>
      </c>
      <c r="B920" t="str">
        <f>"24.0101"</f>
        <v>24.0101</v>
      </c>
      <c r="C920" t="str">
        <f>"24"</f>
        <v>24</v>
      </c>
    </row>
    <row r="921" spans="1:3" x14ac:dyDescent="0.25">
      <c r="A921" t="s">
        <v>731</v>
      </c>
      <c r="B921" t="str">
        <f>"24.0102"</f>
        <v>24.0102</v>
      </c>
      <c r="C921" t="str">
        <f>"24"</f>
        <v>24</v>
      </c>
    </row>
    <row r="922" spans="1:3" x14ac:dyDescent="0.25">
      <c r="A922" t="s">
        <v>732</v>
      </c>
      <c r="B922" t="str">
        <f>"24.0103"</f>
        <v>24.0103</v>
      </c>
      <c r="C922" t="str">
        <f>"24"</f>
        <v>24</v>
      </c>
    </row>
    <row r="923" spans="1:3" x14ac:dyDescent="0.25">
      <c r="A923" t="s">
        <v>733</v>
      </c>
      <c r="B923" t="str">
        <f>"24.0199"</f>
        <v>24.0199</v>
      </c>
      <c r="C923" t="str">
        <f>"24"</f>
        <v>24</v>
      </c>
    </row>
    <row r="924" spans="1:3" x14ac:dyDescent="0.25">
      <c r="A924" t="s">
        <v>734</v>
      </c>
      <c r="B924" t="str">
        <f>"25"</f>
        <v>25</v>
      </c>
      <c r="C924" t="str">
        <f>"25"</f>
        <v>25</v>
      </c>
    </row>
    <row r="925" spans="1:3" x14ac:dyDescent="0.25">
      <c r="A925" t="s">
        <v>735</v>
      </c>
      <c r="B925" t="str">
        <f>"25.01"</f>
        <v>25.01</v>
      </c>
      <c r="C925" t="str">
        <f t="shared" ref="C925:C933" si="20">"25"</f>
        <v>25</v>
      </c>
    </row>
    <row r="926" spans="1:3" x14ac:dyDescent="0.25">
      <c r="A926" t="s">
        <v>736</v>
      </c>
      <c r="B926" t="str">
        <f>"25.0101"</f>
        <v>25.0101</v>
      </c>
      <c r="C926" t="str">
        <f t="shared" si="20"/>
        <v>25</v>
      </c>
    </row>
    <row r="927" spans="1:3" x14ac:dyDescent="0.25">
      <c r="A927" t="s">
        <v>737</v>
      </c>
      <c r="B927" t="str">
        <f>"25.0102"</f>
        <v>25.0102</v>
      </c>
      <c r="C927" t="str">
        <f t="shared" si="20"/>
        <v>25</v>
      </c>
    </row>
    <row r="928" spans="1:3" x14ac:dyDescent="0.25">
      <c r="A928" t="s">
        <v>738</v>
      </c>
      <c r="B928" t="str">
        <f>"25.0103"</f>
        <v>25.0103</v>
      </c>
      <c r="C928" t="str">
        <f t="shared" si="20"/>
        <v>25</v>
      </c>
    </row>
    <row r="929" spans="1:3" x14ac:dyDescent="0.25">
      <c r="A929" t="s">
        <v>739</v>
      </c>
      <c r="B929" t="str">
        <f>"25.0199"</f>
        <v>25.0199</v>
      </c>
      <c r="C929" t="str">
        <f t="shared" si="20"/>
        <v>25</v>
      </c>
    </row>
    <row r="930" spans="1:3" x14ac:dyDescent="0.25">
      <c r="A930" t="s">
        <v>740</v>
      </c>
      <c r="B930" t="str">
        <f>"25.03"</f>
        <v>25.03</v>
      </c>
      <c r="C930" t="str">
        <f t="shared" si="20"/>
        <v>25</v>
      </c>
    </row>
    <row r="931" spans="1:3" x14ac:dyDescent="0.25">
      <c r="A931" t="s">
        <v>740</v>
      </c>
      <c r="B931" t="str">
        <f>"25.0301"</f>
        <v>25.0301</v>
      </c>
      <c r="C931" t="str">
        <f t="shared" si="20"/>
        <v>25</v>
      </c>
    </row>
    <row r="932" spans="1:3" x14ac:dyDescent="0.25">
      <c r="A932" t="s">
        <v>741</v>
      </c>
      <c r="B932" t="str">
        <f>"25.99"</f>
        <v>25.99</v>
      </c>
      <c r="C932" t="str">
        <f t="shared" si="20"/>
        <v>25</v>
      </c>
    </row>
    <row r="933" spans="1:3" x14ac:dyDescent="0.25">
      <c r="A933" t="s">
        <v>741</v>
      </c>
      <c r="B933" t="str">
        <f>"25.9999"</f>
        <v>25.9999</v>
      </c>
      <c r="C933" t="str">
        <f t="shared" si="20"/>
        <v>25</v>
      </c>
    </row>
    <row r="934" spans="1:3" x14ac:dyDescent="0.25">
      <c r="A934" t="s">
        <v>742</v>
      </c>
      <c r="B934" t="str">
        <f>"26"</f>
        <v>26</v>
      </c>
      <c r="C934" t="str">
        <f>"26"</f>
        <v>26</v>
      </c>
    </row>
    <row r="935" spans="1:3" x14ac:dyDescent="0.25">
      <c r="A935" t="s">
        <v>743</v>
      </c>
      <c r="B935" t="str">
        <f>"26.01"</f>
        <v>26.01</v>
      </c>
      <c r="C935" t="str">
        <f t="shared" ref="C935:C998" si="21">"26"</f>
        <v>26</v>
      </c>
    </row>
    <row r="936" spans="1:3" x14ac:dyDescent="0.25">
      <c r="A936" t="s">
        <v>744</v>
      </c>
      <c r="B936" t="str">
        <f>"26.0101"</f>
        <v>26.0101</v>
      </c>
      <c r="C936" t="str">
        <f t="shared" si="21"/>
        <v>26</v>
      </c>
    </row>
    <row r="937" spans="1:3" x14ac:dyDescent="0.25">
      <c r="A937" t="s">
        <v>745</v>
      </c>
      <c r="B937" t="str">
        <f>"26.0102"</f>
        <v>26.0102</v>
      </c>
      <c r="C937" t="str">
        <f t="shared" si="21"/>
        <v>26</v>
      </c>
    </row>
    <row r="938" spans="1:3" x14ac:dyDescent="0.25">
      <c r="A938" t="s">
        <v>746</v>
      </c>
      <c r="B938" t="str">
        <f>"26.02"</f>
        <v>26.02</v>
      </c>
      <c r="C938" t="str">
        <f t="shared" si="21"/>
        <v>26</v>
      </c>
    </row>
    <row r="939" spans="1:3" x14ac:dyDescent="0.25">
      <c r="A939" t="s">
        <v>747</v>
      </c>
      <c r="B939" t="str">
        <f>"26.0202"</f>
        <v>26.0202</v>
      </c>
      <c r="C939" t="str">
        <f t="shared" si="21"/>
        <v>26</v>
      </c>
    </row>
    <row r="940" spans="1:3" x14ac:dyDescent="0.25">
      <c r="A940" t="s">
        <v>748</v>
      </c>
      <c r="B940" t="str">
        <f>"26.0203"</f>
        <v>26.0203</v>
      </c>
      <c r="C940" t="str">
        <f t="shared" si="21"/>
        <v>26</v>
      </c>
    </row>
    <row r="941" spans="1:3" x14ac:dyDescent="0.25">
      <c r="A941" t="s">
        <v>749</v>
      </c>
      <c r="B941" t="str">
        <f>"26.0204"</f>
        <v>26.0204</v>
      </c>
      <c r="C941" t="str">
        <f t="shared" si="21"/>
        <v>26</v>
      </c>
    </row>
    <row r="942" spans="1:3" x14ac:dyDescent="0.25">
      <c r="A942" t="s">
        <v>750</v>
      </c>
      <c r="B942" t="str">
        <f>"26.0205"</f>
        <v>26.0205</v>
      </c>
      <c r="C942" t="str">
        <f t="shared" si="21"/>
        <v>26</v>
      </c>
    </row>
    <row r="943" spans="1:3" x14ac:dyDescent="0.25">
      <c r="A943" t="s">
        <v>751</v>
      </c>
      <c r="B943" t="str">
        <f>"26.0206"</f>
        <v>26.0206</v>
      </c>
      <c r="C943" t="str">
        <f t="shared" si="21"/>
        <v>26</v>
      </c>
    </row>
    <row r="944" spans="1:3" x14ac:dyDescent="0.25">
      <c r="A944" t="s">
        <v>752</v>
      </c>
      <c r="B944" t="str">
        <f>"26.0207"</f>
        <v>26.0207</v>
      </c>
      <c r="C944" t="str">
        <f t="shared" si="21"/>
        <v>26</v>
      </c>
    </row>
    <row r="945" spans="1:3" x14ac:dyDescent="0.25">
      <c r="A945" t="s">
        <v>753</v>
      </c>
      <c r="B945" t="str">
        <f>"26.0208"</f>
        <v>26.0208</v>
      </c>
      <c r="C945" t="str">
        <f t="shared" si="21"/>
        <v>26</v>
      </c>
    </row>
    <row r="946" spans="1:3" x14ac:dyDescent="0.25">
      <c r="A946" t="s">
        <v>754</v>
      </c>
      <c r="B946" t="str">
        <f>"26.0209"</f>
        <v>26.0209</v>
      </c>
      <c r="C946" t="str">
        <f t="shared" si="21"/>
        <v>26</v>
      </c>
    </row>
    <row r="947" spans="1:3" x14ac:dyDescent="0.25">
      <c r="A947" t="s">
        <v>755</v>
      </c>
      <c r="B947" t="str">
        <f>"26.0210"</f>
        <v>26.0210</v>
      </c>
      <c r="C947" t="str">
        <f t="shared" si="21"/>
        <v>26</v>
      </c>
    </row>
    <row r="948" spans="1:3" x14ac:dyDescent="0.25">
      <c r="A948" t="s">
        <v>756</v>
      </c>
      <c r="B948" t="str">
        <f>"26.0299"</f>
        <v>26.0299</v>
      </c>
      <c r="C948" t="str">
        <f t="shared" si="21"/>
        <v>26</v>
      </c>
    </row>
    <row r="949" spans="1:3" x14ac:dyDescent="0.25">
      <c r="A949" t="s">
        <v>757</v>
      </c>
      <c r="B949" t="str">
        <f>"26.03"</f>
        <v>26.03</v>
      </c>
      <c r="C949" t="str">
        <f t="shared" si="21"/>
        <v>26</v>
      </c>
    </row>
    <row r="950" spans="1:3" x14ac:dyDescent="0.25">
      <c r="A950" t="s">
        <v>757</v>
      </c>
      <c r="B950" t="str">
        <f>"26.0301"</f>
        <v>26.0301</v>
      </c>
      <c r="C950" t="str">
        <f t="shared" si="21"/>
        <v>26</v>
      </c>
    </row>
    <row r="951" spans="1:3" x14ac:dyDescent="0.25">
      <c r="A951" t="s">
        <v>758</v>
      </c>
      <c r="B951" t="str">
        <f>"26.0305"</f>
        <v>26.0305</v>
      </c>
      <c r="C951" t="str">
        <f t="shared" si="21"/>
        <v>26</v>
      </c>
    </row>
    <row r="952" spans="1:3" x14ac:dyDescent="0.25">
      <c r="A952" t="s">
        <v>759</v>
      </c>
      <c r="B952" t="str">
        <f>"26.0307"</f>
        <v>26.0307</v>
      </c>
      <c r="C952" t="str">
        <f t="shared" si="21"/>
        <v>26</v>
      </c>
    </row>
    <row r="953" spans="1:3" x14ac:dyDescent="0.25">
      <c r="A953" t="s">
        <v>760</v>
      </c>
      <c r="B953" t="str">
        <f>"26.0308"</f>
        <v>26.0308</v>
      </c>
      <c r="C953" t="str">
        <f t="shared" si="21"/>
        <v>26</v>
      </c>
    </row>
    <row r="954" spans="1:3" x14ac:dyDescent="0.25">
      <c r="A954" t="s">
        <v>761</v>
      </c>
      <c r="B954" t="str">
        <f>"26.0399"</f>
        <v>26.0399</v>
      </c>
      <c r="C954" t="str">
        <f t="shared" si="21"/>
        <v>26</v>
      </c>
    </row>
    <row r="955" spans="1:3" x14ac:dyDescent="0.25">
      <c r="A955" t="s">
        <v>762</v>
      </c>
      <c r="B955" t="str">
        <f>"26.04"</f>
        <v>26.04</v>
      </c>
      <c r="C955" t="str">
        <f t="shared" si="21"/>
        <v>26</v>
      </c>
    </row>
    <row r="956" spans="1:3" x14ac:dyDescent="0.25">
      <c r="A956" t="s">
        <v>763</v>
      </c>
      <c r="B956" t="str">
        <f>"26.0401"</f>
        <v>26.0401</v>
      </c>
      <c r="C956" t="str">
        <f t="shared" si="21"/>
        <v>26</v>
      </c>
    </row>
    <row r="957" spans="1:3" x14ac:dyDescent="0.25">
      <c r="A957" t="s">
        <v>764</v>
      </c>
      <c r="B957" t="str">
        <f>"26.0403"</f>
        <v>26.0403</v>
      </c>
      <c r="C957" t="str">
        <f t="shared" si="21"/>
        <v>26</v>
      </c>
    </row>
    <row r="958" spans="1:3" x14ac:dyDescent="0.25">
      <c r="A958" t="s">
        <v>765</v>
      </c>
      <c r="B958" t="str">
        <f>"26.0404"</f>
        <v>26.0404</v>
      </c>
      <c r="C958" t="str">
        <f t="shared" si="21"/>
        <v>26</v>
      </c>
    </row>
    <row r="959" spans="1:3" x14ac:dyDescent="0.25">
      <c r="A959" t="s">
        <v>767</v>
      </c>
      <c r="B959" t="str">
        <f>"26.0406"</f>
        <v>26.0406</v>
      </c>
      <c r="C959" t="str">
        <f t="shared" si="21"/>
        <v>26</v>
      </c>
    </row>
    <row r="960" spans="1:3" x14ac:dyDescent="0.25">
      <c r="A960" t="s">
        <v>768</v>
      </c>
      <c r="B960" t="str">
        <f>"26.0407"</f>
        <v>26.0407</v>
      </c>
      <c r="C960" t="str">
        <f t="shared" si="21"/>
        <v>26</v>
      </c>
    </row>
    <row r="961" spans="1:3" x14ac:dyDescent="0.25">
      <c r="A961" t="s">
        <v>769</v>
      </c>
      <c r="B961" t="str">
        <f>"26.0499"</f>
        <v>26.0499</v>
      </c>
      <c r="C961" t="str">
        <f t="shared" si="21"/>
        <v>26</v>
      </c>
    </row>
    <row r="962" spans="1:3" x14ac:dyDescent="0.25">
      <c r="A962" t="s">
        <v>770</v>
      </c>
      <c r="B962" t="str">
        <f>"26.05"</f>
        <v>26.05</v>
      </c>
      <c r="C962" t="str">
        <f t="shared" si="21"/>
        <v>26</v>
      </c>
    </row>
    <row r="963" spans="1:3" x14ac:dyDescent="0.25">
      <c r="A963" t="s">
        <v>771</v>
      </c>
      <c r="B963" t="str">
        <f>"26.0502"</f>
        <v>26.0502</v>
      </c>
      <c r="C963" t="str">
        <f t="shared" si="21"/>
        <v>26</v>
      </c>
    </row>
    <row r="964" spans="1:3" x14ac:dyDescent="0.25">
      <c r="A964" t="s">
        <v>772</v>
      </c>
      <c r="B964" t="str">
        <f>"26.0503"</f>
        <v>26.0503</v>
      </c>
      <c r="C964" t="str">
        <f t="shared" si="21"/>
        <v>26</v>
      </c>
    </row>
    <row r="965" spans="1:3" x14ac:dyDescent="0.25">
      <c r="A965" t="s">
        <v>773</v>
      </c>
      <c r="B965" t="str">
        <f>"26.0504"</f>
        <v>26.0504</v>
      </c>
      <c r="C965" t="str">
        <f t="shared" si="21"/>
        <v>26</v>
      </c>
    </row>
    <row r="966" spans="1:3" x14ac:dyDescent="0.25">
      <c r="A966" t="s">
        <v>774</v>
      </c>
      <c r="B966" t="str">
        <f>"26.0505"</f>
        <v>26.0505</v>
      </c>
      <c r="C966" t="str">
        <f t="shared" si="21"/>
        <v>26</v>
      </c>
    </row>
    <row r="967" spans="1:3" x14ac:dyDescent="0.25">
      <c r="A967" t="s">
        <v>775</v>
      </c>
      <c r="B967" t="str">
        <f>"26.0506"</f>
        <v>26.0506</v>
      </c>
      <c r="C967" t="str">
        <f t="shared" si="21"/>
        <v>26</v>
      </c>
    </row>
    <row r="968" spans="1:3" x14ac:dyDescent="0.25">
      <c r="A968" t="s">
        <v>776</v>
      </c>
      <c r="B968" t="str">
        <f>"26.0507"</f>
        <v>26.0507</v>
      </c>
      <c r="C968" t="str">
        <f t="shared" si="21"/>
        <v>26</v>
      </c>
    </row>
    <row r="969" spans="1:3" x14ac:dyDescent="0.25">
      <c r="A969" t="s">
        <v>777</v>
      </c>
      <c r="B969" t="str">
        <f>"26.0508"</f>
        <v>26.0508</v>
      </c>
      <c r="C969" t="str">
        <f t="shared" si="21"/>
        <v>26</v>
      </c>
    </row>
    <row r="970" spans="1:3" x14ac:dyDescent="0.25">
      <c r="A970" t="s">
        <v>1949</v>
      </c>
      <c r="B970" t="str">
        <f>"26.0509"</f>
        <v>26.0509</v>
      </c>
      <c r="C970" t="str">
        <f t="shared" si="21"/>
        <v>26</v>
      </c>
    </row>
    <row r="971" spans="1:3" x14ac:dyDescent="0.25">
      <c r="A971" t="s">
        <v>778</v>
      </c>
      <c r="B971" t="str">
        <f>"26.0599"</f>
        <v>26.0599</v>
      </c>
      <c r="C971" t="str">
        <f t="shared" si="21"/>
        <v>26</v>
      </c>
    </row>
    <row r="972" spans="1:3" x14ac:dyDescent="0.25">
      <c r="A972" t="s">
        <v>779</v>
      </c>
      <c r="B972" t="str">
        <f>"26.07"</f>
        <v>26.07</v>
      </c>
      <c r="C972" t="str">
        <f t="shared" si="21"/>
        <v>26</v>
      </c>
    </row>
    <row r="973" spans="1:3" x14ac:dyDescent="0.25">
      <c r="A973" t="s">
        <v>779</v>
      </c>
      <c r="B973" t="str">
        <f>"26.0701"</f>
        <v>26.0701</v>
      </c>
      <c r="C973" t="str">
        <f t="shared" si="21"/>
        <v>26</v>
      </c>
    </row>
    <row r="974" spans="1:3" x14ac:dyDescent="0.25">
      <c r="A974" t="s">
        <v>780</v>
      </c>
      <c r="B974" t="str">
        <f>"26.0702"</f>
        <v>26.0702</v>
      </c>
      <c r="C974" t="str">
        <f t="shared" si="21"/>
        <v>26</v>
      </c>
    </row>
    <row r="975" spans="1:3" x14ac:dyDescent="0.25">
      <c r="A975" t="s">
        <v>781</v>
      </c>
      <c r="B975" t="str">
        <f>"26.0707"</f>
        <v>26.0707</v>
      </c>
      <c r="C975" t="str">
        <f t="shared" si="21"/>
        <v>26</v>
      </c>
    </row>
    <row r="976" spans="1:3" x14ac:dyDescent="0.25">
      <c r="A976" t="s">
        <v>782</v>
      </c>
      <c r="B976" t="str">
        <f>"26.0708"</f>
        <v>26.0708</v>
      </c>
      <c r="C976" t="str">
        <f t="shared" si="21"/>
        <v>26</v>
      </c>
    </row>
    <row r="977" spans="1:3" x14ac:dyDescent="0.25">
      <c r="A977" t="s">
        <v>783</v>
      </c>
      <c r="B977" t="str">
        <f>"26.0709"</f>
        <v>26.0709</v>
      </c>
      <c r="C977" t="str">
        <f t="shared" si="21"/>
        <v>26</v>
      </c>
    </row>
    <row r="978" spans="1:3" x14ac:dyDescent="0.25">
      <c r="A978" t="s">
        <v>784</v>
      </c>
      <c r="B978" t="str">
        <f>"26.0799"</f>
        <v>26.0799</v>
      </c>
      <c r="C978" t="str">
        <f t="shared" si="21"/>
        <v>26</v>
      </c>
    </row>
    <row r="979" spans="1:3" x14ac:dyDescent="0.25">
      <c r="A979" t="s">
        <v>785</v>
      </c>
      <c r="B979" t="str">
        <f>"26.08"</f>
        <v>26.08</v>
      </c>
      <c r="C979" t="str">
        <f t="shared" si="21"/>
        <v>26</v>
      </c>
    </row>
    <row r="980" spans="1:3" x14ac:dyDescent="0.25">
      <c r="A980" t="s">
        <v>786</v>
      </c>
      <c r="B980" t="str">
        <f>"26.0801"</f>
        <v>26.0801</v>
      </c>
      <c r="C980" t="str">
        <f t="shared" si="21"/>
        <v>26</v>
      </c>
    </row>
    <row r="981" spans="1:3" x14ac:dyDescent="0.25">
      <c r="A981" t="s">
        <v>787</v>
      </c>
      <c r="B981" t="str">
        <f>"26.0802"</f>
        <v>26.0802</v>
      </c>
      <c r="C981" t="str">
        <f t="shared" si="21"/>
        <v>26</v>
      </c>
    </row>
    <row r="982" spans="1:3" x14ac:dyDescent="0.25">
      <c r="A982" t="s">
        <v>788</v>
      </c>
      <c r="B982" t="str">
        <f>"26.0803"</f>
        <v>26.0803</v>
      </c>
      <c r="C982" t="str">
        <f t="shared" si="21"/>
        <v>26</v>
      </c>
    </row>
    <row r="983" spans="1:3" x14ac:dyDescent="0.25">
      <c r="A983" t="s">
        <v>789</v>
      </c>
      <c r="B983" t="str">
        <f>"26.0804"</f>
        <v>26.0804</v>
      </c>
      <c r="C983" t="str">
        <f t="shared" si="21"/>
        <v>26</v>
      </c>
    </row>
    <row r="984" spans="1:3" x14ac:dyDescent="0.25">
      <c r="A984" t="s">
        <v>790</v>
      </c>
      <c r="B984" t="str">
        <f>"26.0805"</f>
        <v>26.0805</v>
      </c>
      <c r="C984" t="str">
        <f t="shared" si="21"/>
        <v>26</v>
      </c>
    </row>
    <row r="985" spans="1:3" x14ac:dyDescent="0.25">
      <c r="A985" t="s">
        <v>791</v>
      </c>
      <c r="B985" t="str">
        <f>"26.0806"</f>
        <v>26.0806</v>
      </c>
      <c r="C985" t="str">
        <f t="shared" si="21"/>
        <v>26</v>
      </c>
    </row>
    <row r="986" spans="1:3" x14ac:dyDescent="0.25">
      <c r="A986" t="s">
        <v>792</v>
      </c>
      <c r="B986" t="str">
        <f>"26.0807"</f>
        <v>26.0807</v>
      </c>
      <c r="C986" t="str">
        <f t="shared" si="21"/>
        <v>26</v>
      </c>
    </row>
    <row r="987" spans="1:3" x14ac:dyDescent="0.25">
      <c r="A987" t="s">
        <v>793</v>
      </c>
      <c r="B987" t="str">
        <f>"26.0899"</f>
        <v>26.0899</v>
      </c>
      <c r="C987" t="str">
        <f t="shared" si="21"/>
        <v>26</v>
      </c>
    </row>
    <row r="988" spans="1:3" x14ac:dyDescent="0.25">
      <c r="A988" t="s">
        <v>794</v>
      </c>
      <c r="B988" t="str">
        <f>"26.09"</f>
        <v>26.09</v>
      </c>
      <c r="C988" t="str">
        <f t="shared" si="21"/>
        <v>26</v>
      </c>
    </row>
    <row r="989" spans="1:3" x14ac:dyDescent="0.25">
      <c r="A989" t="s">
        <v>795</v>
      </c>
      <c r="B989" t="str">
        <f>"26.0901"</f>
        <v>26.0901</v>
      </c>
      <c r="C989" t="str">
        <f t="shared" si="21"/>
        <v>26</v>
      </c>
    </row>
    <row r="990" spans="1:3" x14ac:dyDescent="0.25">
      <c r="A990" t="s">
        <v>796</v>
      </c>
      <c r="B990" t="str">
        <f>"26.0902"</f>
        <v>26.0902</v>
      </c>
      <c r="C990" t="str">
        <f t="shared" si="21"/>
        <v>26</v>
      </c>
    </row>
    <row r="991" spans="1:3" x14ac:dyDescent="0.25">
      <c r="A991" t="s">
        <v>797</v>
      </c>
      <c r="B991" t="str">
        <f>"26.0903"</f>
        <v>26.0903</v>
      </c>
      <c r="C991" t="str">
        <f t="shared" si="21"/>
        <v>26</v>
      </c>
    </row>
    <row r="992" spans="1:3" x14ac:dyDescent="0.25">
      <c r="A992" t="s">
        <v>798</v>
      </c>
      <c r="B992" t="str">
        <f>"26.0904"</f>
        <v>26.0904</v>
      </c>
      <c r="C992" t="str">
        <f t="shared" si="21"/>
        <v>26</v>
      </c>
    </row>
    <row r="993" spans="1:3" x14ac:dyDescent="0.25">
      <c r="A993" t="s">
        <v>799</v>
      </c>
      <c r="B993" t="str">
        <f>"26.0905"</f>
        <v>26.0905</v>
      </c>
      <c r="C993" t="str">
        <f t="shared" si="21"/>
        <v>26</v>
      </c>
    </row>
    <row r="994" spans="1:3" x14ac:dyDescent="0.25">
      <c r="A994" t="s">
        <v>800</v>
      </c>
      <c r="B994" t="str">
        <f>"26.0907"</f>
        <v>26.0907</v>
      </c>
      <c r="C994" t="str">
        <f t="shared" si="21"/>
        <v>26</v>
      </c>
    </row>
    <row r="995" spans="1:3" x14ac:dyDescent="0.25">
      <c r="A995" t="s">
        <v>1950</v>
      </c>
      <c r="B995" t="str">
        <f>"26.0908"</f>
        <v>26.0908</v>
      </c>
      <c r="C995" t="str">
        <f t="shared" si="21"/>
        <v>26</v>
      </c>
    </row>
    <row r="996" spans="1:3" x14ac:dyDescent="0.25">
      <c r="A996" t="s">
        <v>801</v>
      </c>
      <c r="B996" t="str">
        <f>"26.0909"</f>
        <v>26.0909</v>
      </c>
      <c r="C996" t="str">
        <f t="shared" si="21"/>
        <v>26</v>
      </c>
    </row>
    <row r="997" spans="1:3" x14ac:dyDescent="0.25">
      <c r="A997" t="s">
        <v>802</v>
      </c>
      <c r="B997" t="str">
        <f>"26.0910"</f>
        <v>26.0910</v>
      </c>
      <c r="C997" t="str">
        <f t="shared" si="21"/>
        <v>26</v>
      </c>
    </row>
    <row r="998" spans="1:3" x14ac:dyDescent="0.25">
      <c r="A998" t="s">
        <v>803</v>
      </c>
      <c r="B998" t="str">
        <f>"26.0911"</f>
        <v>26.0911</v>
      </c>
      <c r="C998" t="str">
        <f t="shared" si="21"/>
        <v>26</v>
      </c>
    </row>
    <row r="999" spans="1:3" x14ac:dyDescent="0.25">
      <c r="A999" t="s">
        <v>804</v>
      </c>
      <c r="B999" t="str">
        <f>"26.0912"</f>
        <v>26.0912</v>
      </c>
      <c r="C999" t="str">
        <f t="shared" ref="C999:C1041" si="22">"26"</f>
        <v>26</v>
      </c>
    </row>
    <row r="1000" spans="1:3" x14ac:dyDescent="0.25">
      <c r="A1000" t="s">
        <v>1951</v>
      </c>
      <c r="B1000" t="str">
        <f>"26.0913"</f>
        <v>26.0913</v>
      </c>
      <c r="C1000" t="str">
        <f t="shared" si="22"/>
        <v>26</v>
      </c>
    </row>
    <row r="1001" spans="1:3" x14ac:dyDescent="0.25">
      <c r="A1001" t="s">
        <v>805</v>
      </c>
      <c r="B1001" t="str">
        <f>"26.0999"</f>
        <v>26.0999</v>
      </c>
      <c r="C1001" t="str">
        <f t="shared" si="22"/>
        <v>26</v>
      </c>
    </row>
    <row r="1002" spans="1:3" x14ac:dyDescent="0.25">
      <c r="A1002" t="s">
        <v>806</v>
      </c>
      <c r="B1002" t="str">
        <f>"26.10"</f>
        <v>26.10</v>
      </c>
      <c r="C1002" t="str">
        <f t="shared" si="22"/>
        <v>26</v>
      </c>
    </row>
    <row r="1003" spans="1:3" x14ac:dyDescent="0.25">
      <c r="A1003" t="s">
        <v>807</v>
      </c>
      <c r="B1003" t="str">
        <f>"26.1001"</f>
        <v>26.1001</v>
      </c>
      <c r="C1003" t="str">
        <f t="shared" si="22"/>
        <v>26</v>
      </c>
    </row>
    <row r="1004" spans="1:3" x14ac:dyDescent="0.25">
      <c r="A1004" t="s">
        <v>808</v>
      </c>
      <c r="B1004" t="str">
        <f>"26.1002"</f>
        <v>26.1002</v>
      </c>
      <c r="C1004" t="str">
        <f t="shared" si="22"/>
        <v>26</v>
      </c>
    </row>
    <row r="1005" spans="1:3" x14ac:dyDescent="0.25">
      <c r="A1005" t="s">
        <v>809</v>
      </c>
      <c r="B1005" t="str">
        <f>"26.1003"</f>
        <v>26.1003</v>
      </c>
      <c r="C1005" t="str">
        <f t="shared" si="22"/>
        <v>26</v>
      </c>
    </row>
    <row r="1006" spans="1:3" x14ac:dyDescent="0.25">
      <c r="A1006" t="s">
        <v>810</v>
      </c>
      <c r="B1006" t="str">
        <f>"26.1004"</f>
        <v>26.1004</v>
      </c>
      <c r="C1006" t="str">
        <f t="shared" si="22"/>
        <v>26</v>
      </c>
    </row>
    <row r="1007" spans="1:3" x14ac:dyDescent="0.25">
      <c r="A1007" t="s">
        <v>811</v>
      </c>
      <c r="B1007" t="str">
        <f>"26.1005"</f>
        <v>26.1005</v>
      </c>
      <c r="C1007" t="str">
        <f t="shared" si="22"/>
        <v>26</v>
      </c>
    </row>
    <row r="1008" spans="1:3" x14ac:dyDescent="0.25">
      <c r="A1008" t="s">
        <v>812</v>
      </c>
      <c r="B1008" t="str">
        <f>"26.1006"</f>
        <v>26.1006</v>
      </c>
      <c r="C1008" t="str">
        <f t="shared" si="22"/>
        <v>26</v>
      </c>
    </row>
    <row r="1009" spans="1:3" x14ac:dyDescent="0.25">
      <c r="A1009" t="s">
        <v>806</v>
      </c>
      <c r="B1009" t="str">
        <f>"26.1007"</f>
        <v>26.1007</v>
      </c>
      <c r="C1009" t="str">
        <f t="shared" si="22"/>
        <v>26</v>
      </c>
    </row>
    <row r="1010" spans="1:3" x14ac:dyDescent="0.25">
      <c r="A1010" t="s">
        <v>813</v>
      </c>
      <c r="B1010" t="str">
        <f>"26.1099"</f>
        <v>26.1099</v>
      </c>
      <c r="C1010" t="str">
        <f t="shared" si="22"/>
        <v>26</v>
      </c>
    </row>
    <row r="1011" spans="1:3" x14ac:dyDescent="0.25">
      <c r="A1011" t="s">
        <v>814</v>
      </c>
      <c r="B1011" t="str">
        <f>"26.11"</f>
        <v>26.11</v>
      </c>
      <c r="C1011" t="str">
        <f t="shared" si="22"/>
        <v>26</v>
      </c>
    </row>
    <row r="1012" spans="1:3" x14ac:dyDescent="0.25">
      <c r="A1012" t="s">
        <v>815</v>
      </c>
      <c r="B1012" t="str">
        <f>"26.1101"</f>
        <v>26.1101</v>
      </c>
      <c r="C1012" t="str">
        <f t="shared" si="22"/>
        <v>26</v>
      </c>
    </row>
    <row r="1013" spans="1:3" x14ac:dyDescent="0.25">
      <c r="A1013" t="s">
        <v>816</v>
      </c>
      <c r="B1013" t="str">
        <f>"26.1102"</f>
        <v>26.1102</v>
      </c>
      <c r="C1013" t="str">
        <f t="shared" si="22"/>
        <v>26</v>
      </c>
    </row>
    <row r="1014" spans="1:3" x14ac:dyDescent="0.25">
      <c r="A1014" t="s">
        <v>817</v>
      </c>
      <c r="B1014" t="str">
        <f>"26.1103"</f>
        <v>26.1103</v>
      </c>
      <c r="C1014" t="str">
        <f t="shared" si="22"/>
        <v>26</v>
      </c>
    </row>
    <row r="1015" spans="1:3" x14ac:dyDescent="0.25">
      <c r="A1015" t="s">
        <v>818</v>
      </c>
      <c r="B1015" t="str">
        <f>"26.1104"</f>
        <v>26.1104</v>
      </c>
      <c r="C1015" t="str">
        <f t="shared" si="22"/>
        <v>26</v>
      </c>
    </row>
    <row r="1016" spans="1:3" x14ac:dyDescent="0.25">
      <c r="A1016" t="s">
        <v>819</v>
      </c>
      <c r="B1016" t="str">
        <f>"26.1199"</f>
        <v>26.1199</v>
      </c>
      <c r="C1016" t="str">
        <f t="shared" si="22"/>
        <v>26</v>
      </c>
    </row>
    <row r="1017" spans="1:3" x14ac:dyDescent="0.25">
      <c r="A1017" t="s">
        <v>820</v>
      </c>
      <c r="B1017" t="str">
        <f>"26.12"</f>
        <v>26.12</v>
      </c>
      <c r="C1017" t="str">
        <f t="shared" si="22"/>
        <v>26</v>
      </c>
    </row>
    <row r="1018" spans="1:3" x14ac:dyDescent="0.25">
      <c r="A1018" t="s">
        <v>820</v>
      </c>
      <c r="B1018" t="str">
        <f>"26.1201"</f>
        <v>26.1201</v>
      </c>
      <c r="C1018" t="str">
        <f t="shared" si="22"/>
        <v>26</v>
      </c>
    </row>
    <row r="1019" spans="1:3" x14ac:dyDescent="0.25">
      <c r="A1019" t="s">
        <v>821</v>
      </c>
      <c r="B1019" t="str">
        <f>"26.13"</f>
        <v>26.13</v>
      </c>
      <c r="C1019" t="str">
        <f t="shared" si="22"/>
        <v>26</v>
      </c>
    </row>
    <row r="1020" spans="1:3" x14ac:dyDescent="0.25">
      <c r="A1020" t="s">
        <v>822</v>
      </c>
      <c r="B1020" t="str">
        <f>"26.1301"</f>
        <v>26.1301</v>
      </c>
      <c r="C1020" t="str">
        <f t="shared" si="22"/>
        <v>26</v>
      </c>
    </row>
    <row r="1021" spans="1:3" x14ac:dyDescent="0.25">
      <c r="A1021" t="s">
        <v>823</v>
      </c>
      <c r="B1021" t="str">
        <f>"26.1302"</f>
        <v>26.1302</v>
      </c>
      <c r="C1021" t="str">
        <f t="shared" si="22"/>
        <v>26</v>
      </c>
    </row>
    <row r="1022" spans="1:3" x14ac:dyDescent="0.25">
      <c r="A1022" t="s">
        <v>824</v>
      </c>
      <c r="B1022" t="str">
        <f>"26.1303"</f>
        <v>26.1303</v>
      </c>
      <c r="C1022" t="str">
        <f t="shared" si="22"/>
        <v>26</v>
      </c>
    </row>
    <row r="1023" spans="1:3" x14ac:dyDescent="0.25">
      <c r="A1023" t="s">
        <v>825</v>
      </c>
      <c r="B1023" t="str">
        <f>"26.1304"</f>
        <v>26.1304</v>
      </c>
      <c r="C1023" t="str">
        <f t="shared" si="22"/>
        <v>26</v>
      </c>
    </row>
    <row r="1024" spans="1:3" x14ac:dyDescent="0.25">
      <c r="A1024" t="s">
        <v>826</v>
      </c>
      <c r="B1024" t="str">
        <f>"26.1305"</f>
        <v>26.1305</v>
      </c>
      <c r="C1024" t="str">
        <f t="shared" si="22"/>
        <v>26</v>
      </c>
    </row>
    <row r="1025" spans="1:3" x14ac:dyDescent="0.25">
      <c r="A1025" t="s">
        <v>827</v>
      </c>
      <c r="B1025" t="str">
        <f>"26.1306"</f>
        <v>26.1306</v>
      </c>
      <c r="C1025" t="str">
        <f t="shared" si="22"/>
        <v>26</v>
      </c>
    </row>
    <row r="1026" spans="1:3" x14ac:dyDescent="0.25">
      <c r="A1026" t="s">
        <v>828</v>
      </c>
      <c r="B1026" t="str">
        <f>"26.1307"</f>
        <v>26.1307</v>
      </c>
      <c r="C1026" t="str">
        <f t="shared" si="22"/>
        <v>26</v>
      </c>
    </row>
    <row r="1027" spans="1:3" x14ac:dyDescent="0.25">
      <c r="A1027" t="s">
        <v>829</v>
      </c>
      <c r="B1027" t="str">
        <f>"26.1308"</f>
        <v>26.1308</v>
      </c>
      <c r="C1027" t="str">
        <f t="shared" si="22"/>
        <v>26</v>
      </c>
    </row>
    <row r="1028" spans="1:3" x14ac:dyDescent="0.25">
      <c r="A1028" t="s">
        <v>830</v>
      </c>
      <c r="B1028" t="str">
        <f>"26.1309"</f>
        <v>26.1309</v>
      </c>
      <c r="C1028" t="str">
        <f t="shared" si="22"/>
        <v>26</v>
      </c>
    </row>
    <row r="1029" spans="1:3" x14ac:dyDescent="0.25">
      <c r="A1029" t="s">
        <v>831</v>
      </c>
      <c r="B1029" t="str">
        <f>"26.1310"</f>
        <v>26.1310</v>
      </c>
      <c r="C1029" t="str">
        <f t="shared" si="22"/>
        <v>26</v>
      </c>
    </row>
    <row r="1030" spans="1:3" x14ac:dyDescent="0.25">
      <c r="A1030" t="s">
        <v>1952</v>
      </c>
      <c r="B1030" t="str">
        <f>"26.1311"</f>
        <v>26.1311</v>
      </c>
      <c r="C1030" t="str">
        <f t="shared" si="22"/>
        <v>26</v>
      </c>
    </row>
    <row r="1031" spans="1:3" x14ac:dyDescent="0.25">
      <c r="A1031" t="s">
        <v>832</v>
      </c>
      <c r="B1031" t="str">
        <f>"26.1399"</f>
        <v>26.1399</v>
      </c>
      <c r="C1031" t="str">
        <f t="shared" si="22"/>
        <v>26</v>
      </c>
    </row>
    <row r="1032" spans="1:3" x14ac:dyDescent="0.25">
      <c r="A1032" t="s">
        <v>833</v>
      </c>
      <c r="B1032" t="str">
        <f>"26.14"</f>
        <v>26.14</v>
      </c>
      <c r="C1032" t="str">
        <f t="shared" si="22"/>
        <v>26</v>
      </c>
    </row>
    <row r="1033" spans="1:3" x14ac:dyDescent="0.25">
      <c r="A1033" t="s">
        <v>833</v>
      </c>
      <c r="B1033" t="str">
        <f>"26.1401"</f>
        <v>26.1401</v>
      </c>
      <c r="C1033" t="str">
        <f t="shared" si="22"/>
        <v>26</v>
      </c>
    </row>
    <row r="1034" spans="1:3" x14ac:dyDescent="0.25">
      <c r="A1034" t="s">
        <v>834</v>
      </c>
      <c r="B1034" t="str">
        <f>"26.15"</f>
        <v>26.15</v>
      </c>
      <c r="C1034" t="str">
        <f t="shared" si="22"/>
        <v>26</v>
      </c>
    </row>
    <row r="1035" spans="1:3" x14ac:dyDescent="0.25">
      <c r="A1035" t="s">
        <v>835</v>
      </c>
      <c r="B1035" t="str">
        <f>"26.1501"</f>
        <v>26.1501</v>
      </c>
      <c r="C1035" t="str">
        <f t="shared" si="22"/>
        <v>26</v>
      </c>
    </row>
    <row r="1036" spans="1:3" x14ac:dyDescent="0.25">
      <c r="A1036" t="s">
        <v>766</v>
      </c>
      <c r="B1036" t="str">
        <f>"26.1502"</f>
        <v>26.1502</v>
      </c>
      <c r="C1036" t="str">
        <f t="shared" si="22"/>
        <v>26</v>
      </c>
    </row>
    <row r="1037" spans="1:3" x14ac:dyDescent="0.25">
      <c r="A1037" t="s">
        <v>836</v>
      </c>
      <c r="B1037" t="str">
        <f>"26.1503"</f>
        <v>26.1503</v>
      </c>
      <c r="C1037" t="str">
        <f t="shared" si="22"/>
        <v>26</v>
      </c>
    </row>
    <row r="1038" spans="1:3" x14ac:dyDescent="0.25">
      <c r="A1038" t="s">
        <v>837</v>
      </c>
      <c r="B1038" t="str">
        <f>"26.1504"</f>
        <v>26.1504</v>
      </c>
      <c r="C1038" t="str">
        <f t="shared" si="22"/>
        <v>26</v>
      </c>
    </row>
    <row r="1039" spans="1:3" x14ac:dyDescent="0.25">
      <c r="A1039" t="s">
        <v>838</v>
      </c>
      <c r="B1039" t="str">
        <f>"26.1599"</f>
        <v>26.1599</v>
      </c>
      <c r="C1039" t="str">
        <f t="shared" si="22"/>
        <v>26</v>
      </c>
    </row>
    <row r="1040" spans="1:3" x14ac:dyDescent="0.25">
      <c r="A1040" t="s">
        <v>839</v>
      </c>
      <c r="B1040" t="str">
        <f>"26.99"</f>
        <v>26.99</v>
      </c>
      <c r="C1040" t="str">
        <f t="shared" si="22"/>
        <v>26</v>
      </c>
    </row>
    <row r="1041" spans="1:3" x14ac:dyDescent="0.25">
      <c r="A1041" t="s">
        <v>839</v>
      </c>
      <c r="B1041" t="str">
        <f>"26.9999"</f>
        <v>26.9999</v>
      </c>
      <c r="C1041" t="str">
        <f t="shared" si="22"/>
        <v>26</v>
      </c>
    </row>
    <row r="1042" spans="1:3" x14ac:dyDescent="0.25">
      <c r="A1042" t="s">
        <v>840</v>
      </c>
      <c r="B1042" t="str">
        <f>"27"</f>
        <v>27</v>
      </c>
      <c r="C1042" t="str">
        <f>"27"</f>
        <v>27</v>
      </c>
    </row>
    <row r="1043" spans="1:3" x14ac:dyDescent="0.25">
      <c r="A1043" t="s">
        <v>841</v>
      </c>
      <c r="B1043" t="str">
        <f>"27.01"</f>
        <v>27.01</v>
      </c>
      <c r="C1043" t="str">
        <f t="shared" ref="C1043:C1065" si="23">"27"</f>
        <v>27</v>
      </c>
    </row>
    <row r="1044" spans="1:3" x14ac:dyDescent="0.25">
      <c r="A1044" t="s">
        <v>842</v>
      </c>
      <c r="B1044" t="str">
        <f>"27.0101"</f>
        <v>27.0101</v>
      </c>
      <c r="C1044" t="str">
        <f t="shared" si="23"/>
        <v>27</v>
      </c>
    </row>
    <row r="1045" spans="1:3" x14ac:dyDescent="0.25">
      <c r="A1045" t="s">
        <v>843</v>
      </c>
      <c r="B1045" t="str">
        <f>"27.0102"</f>
        <v>27.0102</v>
      </c>
      <c r="C1045" t="str">
        <f t="shared" si="23"/>
        <v>27</v>
      </c>
    </row>
    <row r="1046" spans="1:3" x14ac:dyDescent="0.25">
      <c r="A1046" t="s">
        <v>844</v>
      </c>
      <c r="B1046" t="str">
        <f>"27.0103"</f>
        <v>27.0103</v>
      </c>
      <c r="C1046" t="str">
        <f t="shared" si="23"/>
        <v>27</v>
      </c>
    </row>
    <row r="1047" spans="1:3" x14ac:dyDescent="0.25">
      <c r="A1047" t="s">
        <v>845</v>
      </c>
      <c r="B1047" t="str">
        <f>"27.0104"</f>
        <v>27.0104</v>
      </c>
      <c r="C1047" t="str">
        <f t="shared" si="23"/>
        <v>27</v>
      </c>
    </row>
    <row r="1048" spans="1:3" x14ac:dyDescent="0.25">
      <c r="A1048" t="s">
        <v>846</v>
      </c>
      <c r="B1048" t="str">
        <f>"27.0105"</f>
        <v>27.0105</v>
      </c>
      <c r="C1048" t="str">
        <f t="shared" si="23"/>
        <v>27</v>
      </c>
    </row>
    <row r="1049" spans="1:3" x14ac:dyDescent="0.25">
      <c r="A1049" t="s">
        <v>847</v>
      </c>
      <c r="B1049" t="str">
        <f>"27.0199"</f>
        <v>27.0199</v>
      </c>
      <c r="C1049" t="str">
        <f t="shared" si="23"/>
        <v>27</v>
      </c>
    </row>
    <row r="1050" spans="1:3" x14ac:dyDescent="0.25">
      <c r="A1050" t="s">
        <v>848</v>
      </c>
      <c r="B1050" t="str">
        <f>"27.03"</f>
        <v>27.03</v>
      </c>
      <c r="C1050" t="str">
        <f t="shared" si="23"/>
        <v>27</v>
      </c>
    </row>
    <row r="1051" spans="1:3" x14ac:dyDescent="0.25">
      <c r="A1051" t="s">
        <v>849</v>
      </c>
      <c r="B1051" t="str">
        <f>"27.0301"</f>
        <v>27.0301</v>
      </c>
      <c r="C1051" t="str">
        <f t="shared" si="23"/>
        <v>27</v>
      </c>
    </row>
    <row r="1052" spans="1:3" x14ac:dyDescent="0.25">
      <c r="A1052" t="s">
        <v>850</v>
      </c>
      <c r="B1052" t="str">
        <f>"27.0303"</f>
        <v>27.0303</v>
      </c>
      <c r="C1052" t="str">
        <f t="shared" si="23"/>
        <v>27</v>
      </c>
    </row>
    <row r="1053" spans="1:3" x14ac:dyDescent="0.25">
      <c r="A1053" t="s">
        <v>851</v>
      </c>
      <c r="B1053" t="str">
        <f>"27.0304"</f>
        <v>27.0304</v>
      </c>
      <c r="C1053" t="str">
        <f t="shared" si="23"/>
        <v>27</v>
      </c>
    </row>
    <row r="1054" spans="1:3" x14ac:dyDescent="0.25">
      <c r="A1054" t="s">
        <v>852</v>
      </c>
      <c r="B1054" t="str">
        <f>"27.0305"</f>
        <v>27.0305</v>
      </c>
      <c r="C1054" t="str">
        <f t="shared" si="23"/>
        <v>27</v>
      </c>
    </row>
    <row r="1055" spans="1:3" x14ac:dyDescent="0.25">
      <c r="A1055" t="s">
        <v>853</v>
      </c>
      <c r="B1055" t="str">
        <f>"27.0306"</f>
        <v>27.0306</v>
      </c>
      <c r="C1055" t="str">
        <f t="shared" si="23"/>
        <v>27</v>
      </c>
    </row>
    <row r="1056" spans="1:3" x14ac:dyDescent="0.25">
      <c r="A1056" t="s">
        <v>854</v>
      </c>
      <c r="B1056" t="str">
        <f>"27.0399"</f>
        <v>27.0399</v>
      </c>
      <c r="C1056" t="str">
        <f t="shared" si="23"/>
        <v>27</v>
      </c>
    </row>
    <row r="1057" spans="1:3" x14ac:dyDescent="0.25">
      <c r="A1057" t="s">
        <v>855</v>
      </c>
      <c r="B1057" t="str">
        <f>"27.05"</f>
        <v>27.05</v>
      </c>
      <c r="C1057" t="str">
        <f t="shared" si="23"/>
        <v>27</v>
      </c>
    </row>
    <row r="1058" spans="1:3" x14ac:dyDescent="0.25">
      <c r="A1058" t="s">
        <v>856</v>
      </c>
      <c r="B1058" t="str">
        <f>"27.0501"</f>
        <v>27.0501</v>
      </c>
      <c r="C1058" t="str">
        <f t="shared" si="23"/>
        <v>27</v>
      </c>
    </row>
    <row r="1059" spans="1:3" x14ac:dyDescent="0.25">
      <c r="A1059" t="s">
        <v>857</v>
      </c>
      <c r="B1059" t="str">
        <f>"27.0502"</f>
        <v>27.0502</v>
      </c>
      <c r="C1059" t="str">
        <f t="shared" si="23"/>
        <v>27</v>
      </c>
    </row>
    <row r="1060" spans="1:3" x14ac:dyDescent="0.25">
      <c r="A1060" t="s">
        <v>858</v>
      </c>
      <c r="B1060" t="str">
        <f>"27.0503"</f>
        <v>27.0503</v>
      </c>
      <c r="C1060" t="str">
        <f t="shared" si="23"/>
        <v>27</v>
      </c>
    </row>
    <row r="1061" spans="1:3" x14ac:dyDescent="0.25">
      <c r="A1061" t="s">
        <v>859</v>
      </c>
      <c r="B1061" t="str">
        <f>"27.0599"</f>
        <v>27.0599</v>
      </c>
      <c r="C1061" t="str">
        <f t="shared" si="23"/>
        <v>27</v>
      </c>
    </row>
    <row r="1062" spans="1:3" x14ac:dyDescent="0.25">
      <c r="A1062" t="s">
        <v>1953</v>
      </c>
      <c r="B1062" t="str">
        <f>"27.06"</f>
        <v>27.06</v>
      </c>
      <c r="C1062" t="str">
        <f t="shared" si="23"/>
        <v>27</v>
      </c>
    </row>
    <row r="1063" spans="1:3" x14ac:dyDescent="0.25">
      <c r="A1063" t="s">
        <v>1954</v>
      </c>
      <c r="B1063" t="str">
        <f>"27.0601"</f>
        <v>27.0601</v>
      </c>
      <c r="C1063" t="str">
        <f t="shared" si="23"/>
        <v>27</v>
      </c>
    </row>
    <row r="1064" spans="1:3" x14ac:dyDescent="0.25">
      <c r="A1064" t="s">
        <v>860</v>
      </c>
      <c r="B1064" t="str">
        <f>"27.99"</f>
        <v>27.99</v>
      </c>
      <c r="C1064" t="str">
        <f t="shared" si="23"/>
        <v>27</v>
      </c>
    </row>
    <row r="1065" spans="1:3" x14ac:dyDescent="0.25">
      <c r="A1065" t="s">
        <v>860</v>
      </c>
      <c r="B1065" t="str">
        <f>"27.9999"</f>
        <v>27.9999</v>
      </c>
      <c r="C1065" t="str">
        <f t="shared" si="23"/>
        <v>27</v>
      </c>
    </row>
    <row r="1066" spans="1:3" x14ac:dyDescent="0.25">
      <c r="A1066" t="s">
        <v>861</v>
      </c>
      <c r="B1066" t="str">
        <f>"28"</f>
        <v>28</v>
      </c>
      <c r="C1066" t="str">
        <f>"28"</f>
        <v>28</v>
      </c>
    </row>
    <row r="1067" spans="1:3" x14ac:dyDescent="0.25">
      <c r="A1067" t="s">
        <v>862</v>
      </c>
      <c r="B1067" t="str">
        <f>"28.01"</f>
        <v>28.01</v>
      </c>
      <c r="C1067" t="str">
        <f t="shared" ref="C1067:C1099" si="24">"28"</f>
        <v>28</v>
      </c>
    </row>
    <row r="1068" spans="1:3" x14ac:dyDescent="0.25">
      <c r="A1068" t="s">
        <v>863</v>
      </c>
      <c r="B1068" t="str">
        <f>"28.0101"</f>
        <v>28.0101</v>
      </c>
      <c r="C1068" t="str">
        <f t="shared" si="24"/>
        <v>28</v>
      </c>
    </row>
    <row r="1069" spans="1:3" x14ac:dyDescent="0.25">
      <c r="A1069" t="s">
        <v>864</v>
      </c>
      <c r="B1069" t="str">
        <f>"28.0199"</f>
        <v>28.0199</v>
      </c>
      <c r="C1069" t="str">
        <f t="shared" si="24"/>
        <v>28</v>
      </c>
    </row>
    <row r="1070" spans="1:3" x14ac:dyDescent="0.25">
      <c r="A1070" t="s">
        <v>865</v>
      </c>
      <c r="B1070" t="str">
        <f>"28.03"</f>
        <v>28.03</v>
      </c>
      <c r="C1070" t="str">
        <f t="shared" si="24"/>
        <v>28</v>
      </c>
    </row>
    <row r="1071" spans="1:3" x14ac:dyDescent="0.25">
      <c r="A1071" t="s">
        <v>866</v>
      </c>
      <c r="B1071" t="str">
        <f>"28.0301"</f>
        <v>28.0301</v>
      </c>
      <c r="C1071" t="str">
        <f t="shared" si="24"/>
        <v>28</v>
      </c>
    </row>
    <row r="1072" spans="1:3" x14ac:dyDescent="0.25">
      <c r="A1072" t="s">
        <v>867</v>
      </c>
      <c r="B1072" t="str">
        <f>"28.0399"</f>
        <v>28.0399</v>
      </c>
      <c r="C1072" t="str">
        <f t="shared" si="24"/>
        <v>28</v>
      </c>
    </row>
    <row r="1073" spans="1:3" x14ac:dyDescent="0.25">
      <c r="A1073" t="s">
        <v>868</v>
      </c>
      <c r="B1073" t="str">
        <f>"28.04"</f>
        <v>28.04</v>
      </c>
      <c r="C1073" t="str">
        <f t="shared" si="24"/>
        <v>28</v>
      </c>
    </row>
    <row r="1074" spans="1:3" x14ac:dyDescent="0.25">
      <c r="A1074" t="s">
        <v>869</v>
      </c>
      <c r="B1074" t="str">
        <f>"28.0401"</f>
        <v>28.0401</v>
      </c>
      <c r="C1074" t="str">
        <f t="shared" si="24"/>
        <v>28</v>
      </c>
    </row>
    <row r="1075" spans="1:3" x14ac:dyDescent="0.25">
      <c r="A1075" t="s">
        <v>870</v>
      </c>
      <c r="B1075" t="str">
        <f>"28.0499"</f>
        <v>28.0499</v>
      </c>
      <c r="C1075" t="str">
        <f t="shared" si="24"/>
        <v>28</v>
      </c>
    </row>
    <row r="1076" spans="1:3" x14ac:dyDescent="0.25">
      <c r="A1076" t="s">
        <v>871</v>
      </c>
      <c r="B1076" t="str">
        <f>"28.05"</f>
        <v>28.05</v>
      </c>
      <c r="C1076" t="str">
        <f t="shared" si="24"/>
        <v>28</v>
      </c>
    </row>
    <row r="1077" spans="1:3" x14ac:dyDescent="0.25">
      <c r="A1077" t="s">
        <v>872</v>
      </c>
      <c r="B1077" t="str">
        <f>"28.0501"</f>
        <v>28.0501</v>
      </c>
      <c r="C1077" t="str">
        <f t="shared" si="24"/>
        <v>28</v>
      </c>
    </row>
    <row r="1078" spans="1:3" x14ac:dyDescent="0.25">
      <c r="A1078" t="s">
        <v>873</v>
      </c>
      <c r="B1078" t="str">
        <f>"28.0502"</f>
        <v>28.0502</v>
      </c>
      <c r="C1078" t="str">
        <f t="shared" si="24"/>
        <v>28</v>
      </c>
    </row>
    <row r="1079" spans="1:3" x14ac:dyDescent="0.25">
      <c r="A1079" t="s">
        <v>874</v>
      </c>
      <c r="B1079" t="str">
        <f>"28.0503"</f>
        <v>28.0503</v>
      </c>
      <c r="C1079" t="str">
        <f t="shared" si="24"/>
        <v>28</v>
      </c>
    </row>
    <row r="1080" spans="1:3" x14ac:dyDescent="0.25">
      <c r="A1080" t="s">
        <v>875</v>
      </c>
      <c r="B1080" t="str">
        <f>"28.0504"</f>
        <v>28.0504</v>
      </c>
      <c r="C1080" t="str">
        <f t="shared" si="24"/>
        <v>28</v>
      </c>
    </row>
    <row r="1081" spans="1:3" x14ac:dyDescent="0.25">
      <c r="A1081" t="s">
        <v>876</v>
      </c>
      <c r="B1081" t="str">
        <f>"28.0505"</f>
        <v>28.0505</v>
      </c>
      <c r="C1081" t="str">
        <f t="shared" si="24"/>
        <v>28</v>
      </c>
    </row>
    <row r="1082" spans="1:3" x14ac:dyDescent="0.25">
      <c r="A1082" t="s">
        <v>877</v>
      </c>
      <c r="B1082" t="str">
        <f>"28.0506"</f>
        <v>28.0506</v>
      </c>
      <c r="C1082" t="str">
        <f t="shared" si="24"/>
        <v>28</v>
      </c>
    </row>
    <row r="1083" spans="1:3" x14ac:dyDescent="0.25">
      <c r="A1083" t="s">
        <v>878</v>
      </c>
      <c r="B1083" t="str">
        <f>"28.0599"</f>
        <v>28.0599</v>
      </c>
      <c r="C1083" t="str">
        <f t="shared" si="24"/>
        <v>28</v>
      </c>
    </row>
    <row r="1084" spans="1:3" x14ac:dyDescent="0.25">
      <c r="A1084" t="s">
        <v>879</v>
      </c>
      <c r="B1084" t="str">
        <f>"28.06"</f>
        <v>28.06</v>
      </c>
      <c r="C1084" t="str">
        <f t="shared" si="24"/>
        <v>28</v>
      </c>
    </row>
    <row r="1085" spans="1:3" x14ac:dyDescent="0.25">
      <c r="A1085" t="s">
        <v>880</v>
      </c>
      <c r="B1085" t="str">
        <f>"28.0601"</f>
        <v>28.0601</v>
      </c>
      <c r="C1085" t="str">
        <f t="shared" si="24"/>
        <v>28</v>
      </c>
    </row>
    <row r="1086" spans="1:3" x14ac:dyDescent="0.25">
      <c r="A1086" t="s">
        <v>881</v>
      </c>
      <c r="B1086" t="str">
        <f>"28.0602"</f>
        <v>28.0602</v>
      </c>
      <c r="C1086" t="str">
        <f t="shared" si="24"/>
        <v>28</v>
      </c>
    </row>
    <row r="1087" spans="1:3" x14ac:dyDescent="0.25">
      <c r="A1087" t="s">
        <v>882</v>
      </c>
      <c r="B1087" t="str">
        <f>"28.0603"</f>
        <v>28.0603</v>
      </c>
      <c r="C1087" t="str">
        <f t="shared" si="24"/>
        <v>28</v>
      </c>
    </row>
    <row r="1088" spans="1:3" x14ac:dyDescent="0.25">
      <c r="A1088" t="s">
        <v>883</v>
      </c>
      <c r="B1088" t="str">
        <f>"28.0604"</f>
        <v>28.0604</v>
      </c>
      <c r="C1088" t="str">
        <f t="shared" si="24"/>
        <v>28</v>
      </c>
    </row>
    <row r="1089" spans="1:3" x14ac:dyDescent="0.25">
      <c r="A1089" t="s">
        <v>884</v>
      </c>
      <c r="B1089" t="str">
        <f>"28.0605"</f>
        <v>28.0605</v>
      </c>
      <c r="C1089" t="str">
        <f t="shared" si="24"/>
        <v>28</v>
      </c>
    </row>
    <row r="1090" spans="1:3" x14ac:dyDescent="0.25">
      <c r="A1090" t="s">
        <v>885</v>
      </c>
      <c r="B1090" t="str">
        <f>"28.0699"</f>
        <v>28.0699</v>
      </c>
      <c r="C1090" t="str">
        <f t="shared" si="24"/>
        <v>28</v>
      </c>
    </row>
    <row r="1091" spans="1:3" x14ac:dyDescent="0.25">
      <c r="A1091" t="s">
        <v>886</v>
      </c>
      <c r="B1091" t="str">
        <f>"28.07"</f>
        <v>28.07</v>
      </c>
      <c r="C1091" t="str">
        <f t="shared" si="24"/>
        <v>28</v>
      </c>
    </row>
    <row r="1092" spans="1:3" x14ac:dyDescent="0.25">
      <c r="A1092" t="s">
        <v>887</v>
      </c>
      <c r="B1092" t="str">
        <f>"28.0701"</f>
        <v>28.0701</v>
      </c>
      <c r="C1092" t="str">
        <f t="shared" si="24"/>
        <v>28</v>
      </c>
    </row>
    <row r="1093" spans="1:3" x14ac:dyDescent="0.25">
      <c r="A1093" t="s">
        <v>888</v>
      </c>
      <c r="B1093" t="str">
        <f>"28.0702"</f>
        <v>28.0702</v>
      </c>
      <c r="C1093" t="str">
        <f t="shared" si="24"/>
        <v>28</v>
      </c>
    </row>
    <row r="1094" spans="1:3" x14ac:dyDescent="0.25">
      <c r="A1094" t="s">
        <v>889</v>
      </c>
      <c r="B1094" t="str">
        <f>"28.0703"</f>
        <v>28.0703</v>
      </c>
      <c r="C1094" t="str">
        <f t="shared" si="24"/>
        <v>28</v>
      </c>
    </row>
    <row r="1095" spans="1:3" x14ac:dyDescent="0.25">
      <c r="A1095" t="s">
        <v>890</v>
      </c>
      <c r="B1095" t="str">
        <f>"28.0799"</f>
        <v>28.0799</v>
      </c>
      <c r="C1095" t="str">
        <f t="shared" si="24"/>
        <v>28</v>
      </c>
    </row>
    <row r="1096" spans="1:3" x14ac:dyDescent="0.25">
      <c r="A1096" t="s">
        <v>1793</v>
      </c>
      <c r="B1096" t="str">
        <f>"28.08"</f>
        <v>28.08</v>
      </c>
      <c r="C1096" t="str">
        <f t="shared" si="24"/>
        <v>28</v>
      </c>
    </row>
    <row r="1097" spans="1:3" x14ac:dyDescent="0.25">
      <c r="A1097" t="s">
        <v>1793</v>
      </c>
      <c r="B1097" t="str">
        <f>"28.0801"</f>
        <v>28.0801</v>
      </c>
      <c r="C1097" t="str">
        <f t="shared" si="24"/>
        <v>28</v>
      </c>
    </row>
    <row r="1098" spans="1:3" x14ac:dyDescent="0.25">
      <c r="A1098" t="s">
        <v>891</v>
      </c>
      <c r="B1098" t="str">
        <f>"28.99"</f>
        <v>28.99</v>
      </c>
      <c r="C1098" t="str">
        <f t="shared" si="24"/>
        <v>28</v>
      </c>
    </row>
    <row r="1099" spans="1:3" x14ac:dyDescent="0.25">
      <c r="A1099" t="s">
        <v>891</v>
      </c>
      <c r="B1099" t="str">
        <f>"28.9999"</f>
        <v>28.9999</v>
      </c>
      <c r="C1099" t="str">
        <f t="shared" si="24"/>
        <v>28</v>
      </c>
    </row>
    <row r="1100" spans="1:3" x14ac:dyDescent="0.25">
      <c r="A1100" t="s">
        <v>892</v>
      </c>
      <c r="B1100" t="str">
        <f>"29"</f>
        <v>29</v>
      </c>
      <c r="C1100" t="str">
        <f>"29"</f>
        <v>29</v>
      </c>
    </row>
    <row r="1101" spans="1:3" x14ac:dyDescent="0.25">
      <c r="A1101" t="s">
        <v>893</v>
      </c>
      <c r="B1101" t="str">
        <f>"29.02"</f>
        <v>29.02</v>
      </c>
      <c r="C1101" t="str">
        <f t="shared" ref="C1101:C1135" si="25">"29"</f>
        <v>29</v>
      </c>
    </row>
    <row r="1102" spans="1:3" x14ac:dyDescent="0.25">
      <c r="A1102" t="s">
        <v>894</v>
      </c>
      <c r="B1102" t="str">
        <f>"29.0201"</f>
        <v>29.0201</v>
      </c>
      <c r="C1102" t="str">
        <f t="shared" si="25"/>
        <v>29</v>
      </c>
    </row>
    <row r="1103" spans="1:3" x14ac:dyDescent="0.25">
      <c r="A1103" t="s">
        <v>895</v>
      </c>
      <c r="B1103" t="str">
        <f>"29.0202"</f>
        <v>29.0202</v>
      </c>
      <c r="C1103" t="str">
        <f t="shared" si="25"/>
        <v>29</v>
      </c>
    </row>
    <row r="1104" spans="1:3" x14ac:dyDescent="0.25">
      <c r="A1104" t="s">
        <v>896</v>
      </c>
      <c r="B1104" t="str">
        <f>"29.0203"</f>
        <v>29.0203</v>
      </c>
      <c r="C1104" t="str">
        <f t="shared" si="25"/>
        <v>29</v>
      </c>
    </row>
    <row r="1105" spans="1:3" x14ac:dyDescent="0.25">
      <c r="A1105" t="s">
        <v>897</v>
      </c>
      <c r="B1105" t="str">
        <f>"29.0204"</f>
        <v>29.0204</v>
      </c>
      <c r="C1105" t="str">
        <f t="shared" si="25"/>
        <v>29</v>
      </c>
    </row>
    <row r="1106" spans="1:3" x14ac:dyDescent="0.25">
      <c r="A1106" t="s">
        <v>898</v>
      </c>
      <c r="B1106" t="str">
        <f>"29.0205"</f>
        <v>29.0205</v>
      </c>
      <c r="C1106" t="str">
        <f t="shared" si="25"/>
        <v>29</v>
      </c>
    </row>
    <row r="1107" spans="1:3" x14ac:dyDescent="0.25">
      <c r="A1107" t="s">
        <v>899</v>
      </c>
      <c r="B1107" t="str">
        <f>"29.0206"</f>
        <v>29.0206</v>
      </c>
      <c r="C1107" t="str">
        <f t="shared" si="25"/>
        <v>29</v>
      </c>
    </row>
    <row r="1108" spans="1:3" x14ac:dyDescent="0.25">
      <c r="A1108" t="s">
        <v>900</v>
      </c>
      <c r="B1108" t="str">
        <f>"29.0207"</f>
        <v>29.0207</v>
      </c>
      <c r="C1108" t="str">
        <f t="shared" si="25"/>
        <v>29</v>
      </c>
    </row>
    <row r="1109" spans="1:3" x14ac:dyDescent="0.25">
      <c r="A1109" t="s">
        <v>901</v>
      </c>
      <c r="B1109" t="str">
        <f>"29.0299"</f>
        <v>29.0299</v>
      </c>
      <c r="C1109" t="str">
        <f t="shared" si="25"/>
        <v>29</v>
      </c>
    </row>
    <row r="1110" spans="1:3" x14ac:dyDescent="0.25">
      <c r="A1110" t="s">
        <v>902</v>
      </c>
      <c r="B1110" t="str">
        <f>"29.03"</f>
        <v>29.03</v>
      </c>
      <c r="C1110" t="str">
        <f t="shared" si="25"/>
        <v>29</v>
      </c>
    </row>
    <row r="1111" spans="1:3" x14ac:dyDescent="0.25">
      <c r="A1111" t="s">
        <v>903</v>
      </c>
      <c r="B1111" t="str">
        <f>"29.0301"</f>
        <v>29.0301</v>
      </c>
      <c r="C1111" t="str">
        <f t="shared" si="25"/>
        <v>29</v>
      </c>
    </row>
    <row r="1112" spans="1:3" x14ac:dyDescent="0.25">
      <c r="A1112" t="s">
        <v>904</v>
      </c>
      <c r="B1112" t="str">
        <f>"29.0302"</f>
        <v>29.0302</v>
      </c>
      <c r="C1112" t="str">
        <f t="shared" si="25"/>
        <v>29</v>
      </c>
    </row>
    <row r="1113" spans="1:3" x14ac:dyDescent="0.25">
      <c r="A1113" t="s">
        <v>905</v>
      </c>
      <c r="B1113" t="str">
        <f>"29.0303"</f>
        <v>29.0303</v>
      </c>
      <c r="C1113" t="str">
        <f t="shared" si="25"/>
        <v>29</v>
      </c>
    </row>
    <row r="1114" spans="1:3" x14ac:dyDescent="0.25">
      <c r="A1114" t="s">
        <v>906</v>
      </c>
      <c r="B1114" t="str">
        <f>"29.0304"</f>
        <v>29.0304</v>
      </c>
      <c r="C1114" t="str">
        <f t="shared" si="25"/>
        <v>29</v>
      </c>
    </row>
    <row r="1115" spans="1:3" x14ac:dyDescent="0.25">
      <c r="A1115" t="s">
        <v>907</v>
      </c>
      <c r="B1115" t="str">
        <f>"29.0305"</f>
        <v>29.0305</v>
      </c>
      <c r="C1115" t="str">
        <f t="shared" si="25"/>
        <v>29</v>
      </c>
    </row>
    <row r="1116" spans="1:3" x14ac:dyDescent="0.25">
      <c r="A1116" t="s">
        <v>908</v>
      </c>
      <c r="B1116" t="str">
        <f>"29.0306"</f>
        <v>29.0306</v>
      </c>
      <c r="C1116" t="str">
        <f t="shared" si="25"/>
        <v>29</v>
      </c>
    </row>
    <row r="1117" spans="1:3" x14ac:dyDescent="0.25">
      <c r="A1117" t="s">
        <v>909</v>
      </c>
      <c r="B1117" t="str">
        <f>"29.0307"</f>
        <v>29.0307</v>
      </c>
      <c r="C1117" t="str">
        <f t="shared" si="25"/>
        <v>29</v>
      </c>
    </row>
    <row r="1118" spans="1:3" x14ac:dyDescent="0.25">
      <c r="A1118" t="s">
        <v>910</v>
      </c>
      <c r="B1118" t="str">
        <f>"29.0399"</f>
        <v>29.0399</v>
      </c>
      <c r="C1118" t="str">
        <f t="shared" si="25"/>
        <v>29</v>
      </c>
    </row>
    <row r="1119" spans="1:3" x14ac:dyDescent="0.25">
      <c r="A1119" t="s">
        <v>911</v>
      </c>
      <c r="B1119" t="str">
        <f>"29.04"</f>
        <v>29.04</v>
      </c>
      <c r="C1119" t="str">
        <f t="shared" si="25"/>
        <v>29</v>
      </c>
    </row>
    <row r="1120" spans="1:3" x14ac:dyDescent="0.25">
      <c r="A1120" t="s">
        <v>912</v>
      </c>
      <c r="B1120" t="str">
        <f>"29.0401"</f>
        <v>29.0401</v>
      </c>
      <c r="C1120" t="str">
        <f t="shared" si="25"/>
        <v>29</v>
      </c>
    </row>
    <row r="1121" spans="1:3" x14ac:dyDescent="0.25">
      <c r="A1121" t="s">
        <v>913</v>
      </c>
      <c r="B1121" t="str">
        <f>"29.0402"</f>
        <v>29.0402</v>
      </c>
      <c r="C1121" t="str">
        <f t="shared" si="25"/>
        <v>29</v>
      </c>
    </row>
    <row r="1122" spans="1:3" x14ac:dyDescent="0.25">
      <c r="A1122" t="s">
        <v>914</v>
      </c>
      <c r="B1122" t="str">
        <f>"29.0403"</f>
        <v>29.0403</v>
      </c>
      <c r="C1122" t="str">
        <f t="shared" si="25"/>
        <v>29</v>
      </c>
    </row>
    <row r="1123" spans="1:3" x14ac:dyDescent="0.25">
      <c r="A1123" t="s">
        <v>915</v>
      </c>
      <c r="B1123" t="str">
        <f>"29.0404"</f>
        <v>29.0404</v>
      </c>
      <c r="C1123" t="str">
        <f t="shared" si="25"/>
        <v>29</v>
      </c>
    </row>
    <row r="1124" spans="1:3" x14ac:dyDescent="0.25">
      <c r="A1124" t="s">
        <v>916</v>
      </c>
      <c r="B1124" t="str">
        <f>"29.0405"</f>
        <v>29.0405</v>
      </c>
      <c r="C1124" t="str">
        <f t="shared" si="25"/>
        <v>29</v>
      </c>
    </row>
    <row r="1125" spans="1:3" x14ac:dyDescent="0.25">
      <c r="A1125" t="s">
        <v>917</v>
      </c>
      <c r="B1125" t="str">
        <f>"29.0406"</f>
        <v>29.0406</v>
      </c>
      <c r="C1125" t="str">
        <f t="shared" si="25"/>
        <v>29</v>
      </c>
    </row>
    <row r="1126" spans="1:3" x14ac:dyDescent="0.25">
      <c r="A1126" t="s">
        <v>918</v>
      </c>
      <c r="B1126" t="str">
        <f>"29.0407"</f>
        <v>29.0407</v>
      </c>
      <c r="C1126" t="str">
        <f t="shared" si="25"/>
        <v>29</v>
      </c>
    </row>
    <row r="1127" spans="1:3" x14ac:dyDescent="0.25">
      <c r="A1127" t="s">
        <v>919</v>
      </c>
      <c r="B1127" t="str">
        <f>"29.0408"</f>
        <v>29.0408</v>
      </c>
      <c r="C1127" t="str">
        <f t="shared" si="25"/>
        <v>29</v>
      </c>
    </row>
    <row r="1128" spans="1:3" x14ac:dyDescent="0.25">
      <c r="A1128" t="s">
        <v>920</v>
      </c>
      <c r="B1128" t="str">
        <f>"29.0409"</f>
        <v>29.0409</v>
      </c>
      <c r="C1128" t="str">
        <f t="shared" si="25"/>
        <v>29</v>
      </c>
    </row>
    <row r="1129" spans="1:3" x14ac:dyDescent="0.25">
      <c r="A1129" t="s">
        <v>921</v>
      </c>
      <c r="B1129" t="str">
        <f>"29.0499"</f>
        <v>29.0499</v>
      </c>
      <c r="C1129" t="str">
        <f t="shared" si="25"/>
        <v>29</v>
      </c>
    </row>
    <row r="1130" spans="1:3" x14ac:dyDescent="0.25">
      <c r="A1130" t="s">
        <v>1793</v>
      </c>
      <c r="B1130" t="str">
        <f>"29.05"</f>
        <v>29.05</v>
      </c>
      <c r="C1130" t="str">
        <f t="shared" si="25"/>
        <v>29</v>
      </c>
    </row>
    <row r="1131" spans="1:3" x14ac:dyDescent="0.25">
      <c r="A1131" t="s">
        <v>1793</v>
      </c>
      <c r="B1131" t="str">
        <f>"29.0501"</f>
        <v>29.0501</v>
      </c>
      <c r="C1131" t="str">
        <f t="shared" si="25"/>
        <v>29</v>
      </c>
    </row>
    <row r="1132" spans="1:3" x14ac:dyDescent="0.25">
      <c r="A1132" t="s">
        <v>1955</v>
      </c>
      <c r="B1132" t="str">
        <f>"29.06"</f>
        <v>29.06</v>
      </c>
      <c r="C1132" t="str">
        <f t="shared" si="25"/>
        <v>29</v>
      </c>
    </row>
    <row r="1133" spans="1:3" x14ac:dyDescent="0.25">
      <c r="A1133" t="s">
        <v>1955</v>
      </c>
      <c r="B1133" t="str">
        <f>"29.0601"</f>
        <v>29.0601</v>
      </c>
      <c r="C1133" t="str">
        <f t="shared" si="25"/>
        <v>29</v>
      </c>
    </row>
    <row r="1134" spans="1:3" x14ac:dyDescent="0.25">
      <c r="A1134" t="s">
        <v>922</v>
      </c>
      <c r="B1134" t="str">
        <f>"29.99"</f>
        <v>29.99</v>
      </c>
      <c r="C1134" t="str">
        <f t="shared" si="25"/>
        <v>29</v>
      </c>
    </row>
    <row r="1135" spans="1:3" x14ac:dyDescent="0.25">
      <c r="A1135" t="s">
        <v>922</v>
      </c>
      <c r="B1135" t="str">
        <f>"29.9999"</f>
        <v>29.9999</v>
      </c>
      <c r="C1135" t="str">
        <f t="shared" si="25"/>
        <v>29</v>
      </c>
    </row>
    <row r="1136" spans="1:3" x14ac:dyDescent="0.25">
      <c r="A1136" t="s">
        <v>923</v>
      </c>
      <c r="B1136" t="str">
        <f>"30"</f>
        <v>30</v>
      </c>
      <c r="C1136" t="str">
        <f>"30"</f>
        <v>30</v>
      </c>
    </row>
    <row r="1137" spans="1:3" x14ac:dyDescent="0.25">
      <c r="A1137" t="s">
        <v>924</v>
      </c>
      <c r="B1137" t="str">
        <f>"30.00"</f>
        <v>30.00</v>
      </c>
      <c r="C1137" t="str">
        <f t="shared" ref="C1137:C1200" si="26">"30"</f>
        <v>30</v>
      </c>
    </row>
    <row r="1138" spans="1:3" x14ac:dyDescent="0.25">
      <c r="A1138" t="s">
        <v>924</v>
      </c>
      <c r="B1138" t="str">
        <f>"30.0000"</f>
        <v>30.0000</v>
      </c>
      <c r="C1138" t="str">
        <f t="shared" si="26"/>
        <v>30</v>
      </c>
    </row>
    <row r="1139" spans="1:3" x14ac:dyDescent="0.25">
      <c r="A1139" t="s">
        <v>1956</v>
      </c>
      <c r="B1139" t="str">
        <f>"30.0001"</f>
        <v>30.0001</v>
      </c>
      <c r="C1139" t="str">
        <f t="shared" si="26"/>
        <v>30</v>
      </c>
    </row>
    <row r="1140" spans="1:3" x14ac:dyDescent="0.25">
      <c r="A1140" t="s">
        <v>925</v>
      </c>
      <c r="B1140" t="str">
        <f>"30.01"</f>
        <v>30.01</v>
      </c>
      <c r="C1140" t="str">
        <f t="shared" si="26"/>
        <v>30</v>
      </c>
    </row>
    <row r="1141" spans="1:3" x14ac:dyDescent="0.25">
      <c r="A1141" t="s">
        <v>925</v>
      </c>
      <c r="B1141" t="str">
        <f>"30.0101"</f>
        <v>30.0101</v>
      </c>
      <c r="C1141" t="str">
        <f t="shared" si="26"/>
        <v>30</v>
      </c>
    </row>
    <row r="1142" spans="1:3" x14ac:dyDescent="0.25">
      <c r="A1142" t="s">
        <v>926</v>
      </c>
      <c r="B1142" t="str">
        <f>"30.05"</f>
        <v>30.05</v>
      </c>
      <c r="C1142" t="str">
        <f t="shared" si="26"/>
        <v>30</v>
      </c>
    </row>
    <row r="1143" spans="1:3" x14ac:dyDescent="0.25">
      <c r="A1143" t="s">
        <v>926</v>
      </c>
      <c r="B1143" t="str">
        <f>"30.0501"</f>
        <v>30.0501</v>
      </c>
      <c r="C1143" t="str">
        <f t="shared" si="26"/>
        <v>30</v>
      </c>
    </row>
    <row r="1144" spans="1:3" x14ac:dyDescent="0.25">
      <c r="A1144" t="s">
        <v>927</v>
      </c>
      <c r="B1144" t="str">
        <f>"30.06"</f>
        <v>30.06</v>
      </c>
      <c r="C1144" t="str">
        <f t="shared" si="26"/>
        <v>30</v>
      </c>
    </row>
    <row r="1145" spans="1:3" x14ac:dyDescent="0.25">
      <c r="A1145" t="s">
        <v>927</v>
      </c>
      <c r="B1145" t="str">
        <f>"30.0601"</f>
        <v>30.0601</v>
      </c>
      <c r="C1145" t="str">
        <f t="shared" si="26"/>
        <v>30</v>
      </c>
    </row>
    <row r="1146" spans="1:3" x14ac:dyDescent="0.25">
      <c r="A1146" t="s">
        <v>928</v>
      </c>
      <c r="B1146" t="str">
        <f>"30.08"</f>
        <v>30.08</v>
      </c>
      <c r="C1146" t="str">
        <f t="shared" si="26"/>
        <v>30</v>
      </c>
    </row>
    <row r="1147" spans="1:3" x14ac:dyDescent="0.25">
      <c r="A1147" t="s">
        <v>928</v>
      </c>
      <c r="B1147" t="str">
        <f>"30.0801"</f>
        <v>30.0801</v>
      </c>
      <c r="C1147" t="str">
        <f t="shared" si="26"/>
        <v>30</v>
      </c>
    </row>
    <row r="1148" spans="1:3" x14ac:dyDescent="0.25">
      <c r="A1148" t="s">
        <v>929</v>
      </c>
      <c r="B1148" t="str">
        <f>"30.10"</f>
        <v>30.10</v>
      </c>
      <c r="C1148" t="str">
        <f t="shared" si="26"/>
        <v>30</v>
      </c>
    </row>
    <row r="1149" spans="1:3" x14ac:dyDescent="0.25">
      <c r="A1149" t="s">
        <v>929</v>
      </c>
      <c r="B1149" t="str">
        <f>"30.1001"</f>
        <v>30.1001</v>
      </c>
      <c r="C1149" t="str">
        <f t="shared" si="26"/>
        <v>30</v>
      </c>
    </row>
    <row r="1150" spans="1:3" x14ac:dyDescent="0.25">
      <c r="A1150" t="s">
        <v>930</v>
      </c>
      <c r="B1150" t="str">
        <f>"30.11"</f>
        <v>30.11</v>
      </c>
      <c r="C1150" t="str">
        <f t="shared" si="26"/>
        <v>30</v>
      </c>
    </row>
    <row r="1151" spans="1:3" x14ac:dyDescent="0.25">
      <c r="A1151" t="s">
        <v>930</v>
      </c>
      <c r="B1151" t="str">
        <f>"30.1101"</f>
        <v>30.1101</v>
      </c>
      <c r="C1151" t="str">
        <f t="shared" si="26"/>
        <v>30</v>
      </c>
    </row>
    <row r="1152" spans="1:3" x14ac:dyDescent="0.25">
      <c r="A1152" t="s">
        <v>931</v>
      </c>
      <c r="B1152" t="str">
        <f>"30.12"</f>
        <v>30.12</v>
      </c>
      <c r="C1152" t="str">
        <f t="shared" si="26"/>
        <v>30</v>
      </c>
    </row>
    <row r="1153" spans="1:3" x14ac:dyDescent="0.25">
      <c r="A1153" t="s">
        <v>1957</v>
      </c>
      <c r="B1153" t="str">
        <f>"30.1201"</f>
        <v>30.1201</v>
      </c>
      <c r="C1153" t="str">
        <f t="shared" si="26"/>
        <v>30</v>
      </c>
    </row>
    <row r="1154" spans="1:3" x14ac:dyDescent="0.25">
      <c r="A1154" t="s">
        <v>932</v>
      </c>
      <c r="B1154" t="str">
        <f>"30.1202"</f>
        <v>30.1202</v>
      </c>
      <c r="C1154" t="str">
        <f t="shared" si="26"/>
        <v>30</v>
      </c>
    </row>
    <row r="1155" spans="1:3" x14ac:dyDescent="0.25">
      <c r="A1155" t="s">
        <v>933</v>
      </c>
      <c r="B1155" t="str">
        <f>"30.1299"</f>
        <v>30.1299</v>
      </c>
      <c r="C1155" t="str">
        <f t="shared" si="26"/>
        <v>30</v>
      </c>
    </row>
    <row r="1156" spans="1:3" x14ac:dyDescent="0.25">
      <c r="A1156" t="s">
        <v>934</v>
      </c>
      <c r="B1156" t="str">
        <f>"30.13"</f>
        <v>30.13</v>
      </c>
      <c r="C1156" t="str">
        <f t="shared" si="26"/>
        <v>30</v>
      </c>
    </row>
    <row r="1157" spans="1:3" x14ac:dyDescent="0.25">
      <c r="A1157" t="s">
        <v>934</v>
      </c>
      <c r="B1157" t="str">
        <f>"30.1301"</f>
        <v>30.1301</v>
      </c>
      <c r="C1157" t="str">
        <f t="shared" si="26"/>
        <v>30</v>
      </c>
    </row>
    <row r="1158" spans="1:3" x14ac:dyDescent="0.25">
      <c r="A1158" t="s">
        <v>935</v>
      </c>
      <c r="B1158" t="str">
        <f>"30.14"</f>
        <v>30.14</v>
      </c>
      <c r="C1158" t="str">
        <f t="shared" si="26"/>
        <v>30</v>
      </c>
    </row>
    <row r="1159" spans="1:3" x14ac:dyDescent="0.25">
      <c r="A1159" t="s">
        <v>935</v>
      </c>
      <c r="B1159" t="str">
        <f>"30.1401"</f>
        <v>30.1401</v>
      </c>
      <c r="C1159" t="str">
        <f t="shared" si="26"/>
        <v>30</v>
      </c>
    </row>
    <row r="1160" spans="1:3" x14ac:dyDescent="0.25">
      <c r="A1160" t="s">
        <v>936</v>
      </c>
      <c r="B1160" t="str">
        <f>"30.15"</f>
        <v>30.15</v>
      </c>
      <c r="C1160" t="str">
        <f t="shared" si="26"/>
        <v>30</v>
      </c>
    </row>
    <row r="1161" spans="1:3" x14ac:dyDescent="0.25">
      <c r="A1161" t="s">
        <v>936</v>
      </c>
      <c r="B1161" t="str">
        <f>"30.1501"</f>
        <v>30.1501</v>
      </c>
      <c r="C1161" t="str">
        <f t="shared" si="26"/>
        <v>30</v>
      </c>
    </row>
    <row r="1162" spans="1:3" x14ac:dyDescent="0.25">
      <c r="A1162" t="s">
        <v>937</v>
      </c>
      <c r="B1162" t="str">
        <f>"30.16"</f>
        <v>30.16</v>
      </c>
      <c r="C1162" t="str">
        <f t="shared" si="26"/>
        <v>30</v>
      </c>
    </row>
    <row r="1163" spans="1:3" x14ac:dyDescent="0.25">
      <c r="A1163" t="s">
        <v>937</v>
      </c>
      <c r="B1163" t="str">
        <f>"30.1601"</f>
        <v>30.1601</v>
      </c>
      <c r="C1163" t="str">
        <f t="shared" si="26"/>
        <v>30</v>
      </c>
    </row>
    <row r="1164" spans="1:3" x14ac:dyDescent="0.25">
      <c r="A1164" t="s">
        <v>938</v>
      </c>
      <c r="B1164" t="str">
        <f>"30.17"</f>
        <v>30.17</v>
      </c>
      <c r="C1164" t="str">
        <f t="shared" si="26"/>
        <v>30</v>
      </c>
    </row>
    <row r="1165" spans="1:3" x14ac:dyDescent="0.25">
      <c r="A1165" t="s">
        <v>938</v>
      </c>
      <c r="B1165" t="str">
        <f>"30.1701"</f>
        <v>30.1701</v>
      </c>
      <c r="C1165" t="str">
        <f t="shared" si="26"/>
        <v>30</v>
      </c>
    </row>
    <row r="1166" spans="1:3" x14ac:dyDescent="0.25">
      <c r="A1166" t="s">
        <v>939</v>
      </c>
      <c r="B1166" t="str">
        <f>"30.18"</f>
        <v>30.18</v>
      </c>
      <c r="C1166" t="str">
        <f t="shared" si="26"/>
        <v>30</v>
      </c>
    </row>
    <row r="1167" spans="1:3" x14ac:dyDescent="0.25">
      <c r="A1167" t="s">
        <v>939</v>
      </c>
      <c r="B1167" t="str">
        <f>"30.1801"</f>
        <v>30.1801</v>
      </c>
      <c r="C1167" t="str">
        <f t="shared" si="26"/>
        <v>30</v>
      </c>
    </row>
    <row r="1168" spans="1:3" x14ac:dyDescent="0.25">
      <c r="A1168" t="s">
        <v>940</v>
      </c>
      <c r="B1168" t="str">
        <f>"30.19"</f>
        <v>30.19</v>
      </c>
      <c r="C1168" t="str">
        <f t="shared" si="26"/>
        <v>30</v>
      </c>
    </row>
    <row r="1169" spans="1:3" x14ac:dyDescent="0.25">
      <c r="A1169" t="s">
        <v>940</v>
      </c>
      <c r="B1169" t="str">
        <f>"30.1901"</f>
        <v>30.1901</v>
      </c>
      <c r="C1169" t="str">
        <f t="shared" si="26"/>
        <v>30</v>
      </c>
    </row>
    <row r="1170" spans="1:3" x14ac:dyDescent="0.25">
      <c r="A1170" t="s">
        <v>1958</v>
      </c>
      <c r="B1170" t="str">
        <f>"30.20"</f>
        <v>30.20</v>
      </c>
      <c r="C1170" t="str">
        <f t="shared" si="26"/>
        <v>30</v>
      </c>
    </row>
    <row r="1171" spans="1:3" x14ac:dyDescent="0.25">
      <c r="A1171" t="s">
        <v>1958</v>
      </c>
      <c r="B1171" t="str">
        <f>"30.2001"</f>
        <v>30.2001</v>
      </c>
      <c r="C1171" t="str">
        <f t="shared" si="26"/>
        <v>30</v>
      </c>
    </row>
    <row r="1172" spans="1:3" x14ac:dyDescent="0.25">
      <c r="A1172" t="s">
        <v>941</v>
      </c>
      <c r="B1172" t="str">
        <f>"30.21"</f>
        <v>30.21</v>
      </c>
      <c r="C1172" t="str">
        <f t="shared" si="26"/>
        <v>30</v>
      </c>
    </row>
    <row r="1173" spans="1:3" x14ac:dyDescent="0.25">
      <c r="A1173" t="s">
        <v>941</v>
      </c>
      <c r="B1173" t="str">
        <f>"30.2101"</f>
        <v>30.2101</v>
      </c>
      <c r="C1173" t="str">
        <f t="shared" si="26"/>
        <v>30</v>
      </c>
    </row>
    <row r="1174" spans="1:3" x14ac:dyDescent="0.25">
      <c r="A1174" t="s">
        <v>942</v>
      </c>
      <c r="B1174" t="str">
        <f>"30.22"</f>
        <v>30.22</v>
      </c>
      <c r="C1174" t="str">
        <f t="shared" si="26"/>
        <v>30</v>
      </c>
    </row>
    <row r="1175" spans="1:3" x14ac:dyDescent="0.25">
      <c r="A1175" t="s">
        <v>943</v>
      </c>
      <c r="B1175" t="str">
        <f>"30.2201"</f>
        <v>30.2201</v>
      </c>
      <c r="C1175" t="str">
        <f t="shared" si="26"/>
        <v>30</v>
      </c>
    </row>
    <row r="1176" spans="1:3" x14ac:dyDescent="0.25">
      <c r="A1176" t="s">
        <v>1959</v>
      </c>
      <c r="B1176" t="str">
        <f>"30.2202"</f>
        <v>30.2202</v>
      </c>
      <c r="C1176" t="str">
        <f t="shared" si="26"/>
        <v>30</v>
      </c>
    </row>
    <row r="1177" spans="1:3" x14ac:dyDescent="0.25">
      <c r="A1177" t="s">
        <v>1960</v>
      </c>
      <c r="B1177" t="str">
        <f>"30.2299"</f>
        <v>30.2299</v>
      </c>
      <c r="C1177" t="str">
        <f t="shared" si="26"/>
        <v>30</v>
      </c>
    </row>
    <row r="1178" spans="1:3" x14ac:dyDescent="0.25">
      <c r="A1178" t="s">
        <v>944</v>
      </c>
      <c r="B1178" t="str">
        <f>"30.23"</f>
        <v>30.23</v>
      </c>
      <c r="C1178" t="str">
        <f t="shared" si="26"/>
        <v>30</v>
      </c>
    </row>
    <row r="1179" spans="1:3" x14ac:dyDescent="0.25">
      <c r="A1179" t="s">
        <v>944</v>
      </c>
      <c r="B1179" t="str">
        <f>"30.2301"</f>
        <v>30.2301</v>
      </c>
      <c r="C1179" t="str">
        <f t="shared" si="26"/>
        <v>30</v>
      </c>
    </row>
    <row r="1180" spans="1:3" x14ac:dyDescent="0.25">
      <c r="A1180" t="s">
        <v>945</v>
      </c>
      <c r="B1180" t="str">
        <f>"30.25"</f>
        <v>30.25</v>
      </c>
      <c r="C1180" t="str">
        <f t="shared" si="26"/>
        <v>30</v>
      </c>
    </row>
    <row r="1181" spans="1:3" x14ac:dyDescent="0.25">
      <c r="A1181" t="s">
        <v>1961</v>
      </c>
      <c r="B1181" t="str">
        <f>"30.2501"</f>
        <v>30.2501</v>
      </c>
      <c r="C1181" t="str">
        <f t="shared" si="26"/>
        <v>30</v>
      </c>
    </row>
    <row r="1182" spans="1:3" x14ac:dyDescent="0.25">
      <c r="A1182" t="s">
        <v>1962</v>
      </c>
      <c r="B1182" t="str">
        <f>"30.2502"</f>
        <v>30.2502</v>
      </c>
      <c r="C1182" t="str">
        <f t="shared" si="26"/>
        <v>30</v>
      </c>
    </row>
    <row r="1183" spans="1:3" x14ac:dyDescent="0.25">
      <c r="A1183" t="s">
        <v>1963</v>
      </c>
      <c r="B1183" t="str">
        <f>"30.2599"</f>
        <v>30.2599</v>
      </c>
      <c r="C1183" t="str">
        <f t="shared" si="26"/>
        <v>30</v>
      </c>
    </row>
    <row r="1184" spans="1:3" x14ac:dyDescent="0.25">
      <c r="A1184" t="s">
        <v>946</v>
      </c>
      <c r="B1184" t="str">
        <f>"30.26"</f>
        <v>30.26</v>
      </c>
      <c r="C1184" t="str">
        <f t="shared" si="26"/>
        <v>30</v>
      </c>
    </row>
    <row r="1185" spans="1:3" x14ac:dyDescent="0.25">
      <c r="A1185" t="s">
        <v>946</v>
      </c>
      <c r="B1185" t="str">
        <f>"30.2601"</f>
        <v>30.2601</v>
      </c>
      <c r="C1185" t="str">
        <f t="shared" si="26"/>
        <v>30</v>
      </c>
    </row>
    <row r="1186" spans="1:3" x14ac:dyDescent="0.25">
      <c r="A1186" t="s">
        <v>947</v>
      </c>
      <c r="B1186" t="str">
        <f>"30.27"</f>
        <v>30.27</v>
      </c>
      <c r="C1186" t="str">
        <f t="shared" si="26"/>
        <v>30</v>
      </c>
    </row>
    <row r="1187" spans="1:3" x14ac:dyDescent="0.25">
      <c r="A1187" t="s">
        <v>947</v>
      </c>
      <c r="B1187" t="str">
        <f>"30.2701"</f>
        <v>30.2701</v>
      </c>
      <c r="C1187" t="str">
        <f t="shared" si="26"/>
        <v>30</v>
      </c>
    </row>
    <row r="1188" spans="1:3" x14ac:dyDescent="0.25">
      <c r="A1188" t="s">
        <v>948</v>
      </c>
      <c r="B1188" t="str">
        <f>"30.28"</f>
        <v>30.28</v>
      </c>
      <c r="C1188" t="str">
        <f t="shared" si="26"/>
        <v>30</v>
      </c>
    </row>
    <row r="1189" spans="1:3" x14ac:dyDescent="0.25">
      <c r="A1189" t="s">
        <v>948</v>
      </c>
      <c r="B1189" t="str">
        <f>"30.2801"</f>
        <v>30.2801</v>
      </c>
      <c r="C1189" t="str">
        <f t="shared" si="26"/>
        <v>30</v>
      </c>
    </row>
    <row r="1190" spans="1:3" x14ac:dyDescent="0.25">
      <c r="A1190" t="s">
        <v>949</v>
      </c>
      <c r="B1190" t="str">
        <f>"30.29"</f>
        <v>30.29</v>
      </c>
      <c r="C1190" t="str">
        <f t="shared" si="26"/>
        <v>30</v>
      </c>
    </row>
    <row r="1191" spans="1:3" x14ac:dyDescent="0.25">
      <c r="A1191" t="s">
        <v>949</v>
      </c>
      <c r="B1191" t="str">
        <f>"30.2901"</f>
        <v>30.2901</v>
      </c>
      <c r="C1191" t="str">
        <f t="shared" si="26"/>
        <v>30</v>
      </c>
    </row>
    <row r="1192" spans="1:3" x14ac:dyDescent="0.25">
      <c r="A1192" t="s">
        <v>950</v>
      </c>
      <c r="B1192" t="str">
        <f>"30.30"</f>
        <v>30.30</v>
      </c>
      <c r="C1192" t="str">
        <f t="shared" si="26"/>
        <v>30</v>
      </c>
    </row>
    <row r="1193" spans="1:3" x14ac:dyDescent="0.25">
      <c r="A1193" t="s">
        <v>950</v>
      </c>
      <c r="B1193" t="str">
        <f>"30.3001"</f>
        <v>30.3001</v>
      </c>
      <c r="C1193" t="str">
        <f t="shared" si="26"/>
        <v>30</v>
      </c>
    </row>
    <row r="1194" spans="1:3" x14ac:dyDescent="0.25">
      <c r="A1194" t="s">
        <v>951</v>
      </c>
      <c r="B1194" t="str">
        <f>"30.31"</f>
        <v>30.31</v>
      </c>
      <c r="C1194" t="str">
        <f t="shared" si="26"/>
        <v>30</v>
      </c>
    </row>
    <row r="1195" spans="1:3" x14ac:dyDescent="0.25">
      <c r="A1195" t="s">
        <v>951</v>
      </c>
      <c r="B1195" t="str">
        <f>"30.3101"</f>
        <v>30.3101</v>
      </c>
      <c r="C1195" t="str">
        <f t="shared" si="26"/>
        <v>30</v>
      </c>
    </row>
    <row r="1196" spans="1:3" x14ac:dyDescent="0.25">
      <c r="A1196" t="s">
        <v>952</v>
      </c>
      <c r="B1196" t="str">
        <f>"30.32"</f>
        <v>30.32</v>
      </c>
      <c r="C1196" t="str">
        <f t="shared" si="26"/>
        <v>30</v>
      </c>
    </row>
    <row r="1197" spans="1:3" x14ac:dyDescent="0.25">
      <c r="A1197" t="s">
        <v>952</v>
      </c>
      <c r="B1197" t="str">
        <f>"30.3201"</f>
        <v>30.3201</v>
      </c>
      <c r="C1197" t="str">
        <f t="shared" si="26"/>
        <v>30</v>
      </c>
    </row>
    <row r="1198" spans="1:3" x14ac:dyDescent="0.25">
      <c r="A1198" t="s">
        <v>953</v>
      </c>
      <c r="B1198" t="str">
        <f>"30.33"</f>
        <v>30.33</v>
      </c>
      <c r="C1198" t="str">
        <f t="shared" si="26"/>
        <v>30</v>
      </c>
    </row>
    <row r="1199" spans="1:3" x14ac:dyDescent="0.25">
      <c r="A1199" t="s">
        <v>953</v>
      </c>
      <c r="B1199" t="str">
        <f>"30.3301"</f>
        <v>30.3301</v>
      </c>
      <c r="C1199" t="str">
        <f t="shared" si="26"/>
        <v>30</v>
      </c>
    </row>
    <row r="1200" spans="1:3" x14ac:dyDescent="0.25">
      <c r="A1200" t="s">
        <v>1964</v>
      </c>
      <c r="B1200" t="str">
        <f>"30.34"</f>
        <v>30.34</v>
      </c>
      <c r="C1200" t="str">
        <f t="shared" si="26"/>
        <v>30</v>
      </c>
    </row>
    <row r="1201" spans="1:3" x14ac:dyDescent="0.25">
      <c r="A1201" t="s">
        <v>1964</v>
      </c>
      <c r="B1201" t="str">
        <f>"30.3401"</f>
        <v>30.3401</v>
      </c>
      <c r="C1201" t="str">
        <f t="shared" ref="C1201:C1253" si="27">"30"</f>
        <v>30</v>
      </c>
    </row>
    <row r="1202" spans="1:3" x14ac:dyDescent="0.25">
      <c r="A1202" t="s">
        <v>1965</v>
      </c>
      <c r="B1202" t="str">
        <f>"30.35"</f>
        <v>30.35</v>
      </c>
      <c r="C1202" t="str">
        <f t="shared" si="27"/>
        <v>30</v>
      </c>
    </row>
    <row r="1203" spans="1:3" x14ac:dyDescent="0.25">
      <c r="A1203" t="s">
        <v>1965</v>
      </c>
      <c r="B1203" t="str">
        <f>"30.3501"</f>
        <v>30.3501</v>
      </c>
      <c r="C1203" t="str">
        <f t="shared" si="27"/>
        <v>30</v>
      </c>
    </row>
    <row r="1204" spans="1:3" x14ac:dyDescent="0.25">
      <c r="A1204" t="s">
        <v>1966</v>
      </c>
      <c r="B1204" t="str">
        <f>"30.36"</f>
        <v>30.36</v>
      </c>
      <c r="C1204" t="str">
        <f t="shared" si="27"/>
        <v>30</v>
      </c>
    </row>
    <row r="1205" spans="1:3" x14ac:dyDescent="0.25">
      <c r="A1205" t="s">
        <v>1966</v>
      </c>
      <c r="B1205" t="str">
        <f>"30.3601"</f>
        <v>30.3601</v>
      </c>
      <c r="C1205" t="str">
        <f t="shared" si="27"/>
        <v>30</v>
      </c>
    </row>
    <row r="1206" spans="1:3" x14ac:dyDescent="0.25">
      <c r="A1206" t="s">
        <v>1967</v>
      </c>
      <c r="B1206" t="str">
        <f>"30.37"</f>
        <v>30.37</v>
      </c>
      <c r="C1206" t="str">
        <f t="shared" si="27"/>
        <v>30</v>
      </c>
    </row>
    <row r="1207" spans="1:3" x14ac:dyDescent="0.25">
      <c r="A1207" t="s">
        <v>1967</v>
      </c>
      <c r="B1207" t="str">
        <f>"30.3701"</f>
        <v>30.3701</v>
      </c>
      <c r="C1207" t="str">
        <f t="shared" si="27"/>
        <v>30</v>
      </c>
    </row>
    <row r="1208" spans="1:3" x14ac:dyDescent="0.25">
      <c r="A1208" t="s">
        <v>1968</v>
      </c>
      <c r="B1208" t="str">
        <f>"30.38"</f>
        <v>30.38</v>
      </c>
      <c r="C1208" t="str">
        <f t="shared" si="27"/>
        <v>30</v>
      </c>
    </row>
    <row r="1209" spans="1:3" x14ac:dyDescent="0.25">
      <c r="A1209" t="s">
        <v>1968</v>
      </c>
      <c r="B1209" t="str">
        <f>"30.3801"</f>
        <v>30.3801</v>
      </c>
      <c r="C1209" t="str">
        <f t="shared" si="27"/>
        <v>30</v>
      </c>
    </row>
    <row r="1210" spans="1:3" x14ac:dyDescent="0.25">
      <c r="A1210" t="s">
        <v>1969</v>
      </c>
      <c r="B1210" t="str">
        <f>"30.39"</f>
        <v>30.39</v>
      </c>
      <c r="C1210" t="str">
        <f t="shared" si="27"/>
        <v>30</v>
      </c>
    </row>
    <row r="1211" spans="1:3" x14ac:dyDescent="0.25">
      <c r="A1211" t="s">
        <v>1969</v>
      </c>
      <c r="B1211" t="str">
        <f>"30.3901"</f>
        <v>30.3901</v>
      </c>
      <c r="C1211" t="str">
        <f t="shared" si="27"/>
        <v>30</v>
      </c>
    </row>
    <row r="1212" spans="1:3" x14ac:dyDescent="0.25">
      <c r="A1212" t="s">
        <v>1970</v>
      </c>
      <c r="B1212" t="str">
        <f>"30.40"</f>
        <v>30.40</v>
      </c>
      <c r="C1212" t="str">
        <f t="shared" si="27"/>
        <v>30</v>
      </c>
    </row>
    <row r="1213" spans="1:3" x14ac:dyDescent="0.25">
      <c r="A1213" t="s">
        <v>1970</v>
      </c>
      <c r="B1213" t="str">
        <f>"30.4001"</f>
        <v>30.4001</v>
      </c>
      <c r="C1213" t="str">
        <f t="shared" si="27"/>
        <v>30</v>
      </c>
    </row>
    <row r="1214" spans="1:3" x14ac:dyDescent="0.25">
      <c r="A1214" t="s">
        <v>1971</v>
      </c>
      <c r="B1214" t="str">
        <f>"30.41"</f>
        <v>30.41</v>
      </c>
      <c r="C1214" t="str">
        <f t="shared" si="27"/>
        <v>30</v>
      </c>
    </row>
    <row r="1215" spans="1:3" x14ac:dyDescent="0.25">
      <c r="A1215" t="s">
        <v>1971</v>
      </c>
      <c r="B1215" t="str">
        <f>"30.4101"</f>
        <v>30.4101</v>
      </c>
      <c r="C1215" t="str">
        <f t="shared" si="27"/>
        <v>30</v>
      </c>
    </row>
    <row r="1216" spans="1:3" x14ac:dyDescent="0.25">
      <c r="A1216" t="s">
        <v>1972</v>
      </c>
      <c r="B1216" t="str">
        <f>"30.42"</f>
        <v>30.42</v>
      </c>
      <c r="C1216" t="str">
        <f t="shared" si="27"/>
        <v>30</v>
      </c>
    </row>
    <row r="1217" spans="1:3" x14ac:dyDescent="0.25">
      <c r="A1217" t="s">
        <v>1972</v>
      </c>
      <c r="B1217" t="str">
        <f>"30.4201"</f>
        <v>30.4201</v>
      </c>
      <c r="C1217" t="str">
        <f t="shared" si="27"/>
        <v>30</v>
      </c>
    </row>
    <row r="1218" spans="1:3" x14ac:dyDescent="0.25">
      <c r="A1218" t="s">
        <v>1973</v>
      </c>
      <c r="B1218" t="str">
        <f>"30.43"</f>
        <v>30.43</v>
      </c>
      <c r="C1218" t="str">
        <f t="shared" si="27"/>
        <v>30</v>
      </c>
    </row>
    <row r="1219" spans="1:3" x14ac:dyDescent="0.25">
      <c r="A1219" t="s">
        <v>1973</v>
      </c>
      <c r="B1219" t="str">
        <f>"30.4301"</f>
        <v>30.4301</v>
      </c>
      <c r="C1219" t="str">
        <f t="shared" si="27"/>
        <v>30</v>
      </c>
    </row>
    <row r="1220" spans="1:3" x14ac:dyDescent="0.25">
      <c r="A1220" t="s">
        <v>1974</v>
      </c>
      <c r="B1220" t="str">
        <f>"30.44"</f>
        <v>30.44</v>
      </c>
      <c r="C1220" t="str">
        <f t="shared" si="27"/>
        <v>30</v>
      </c>
    </row>
    <row r="1221" spans="1:3" x14ac:dyDescent="0.25">
      <c r="A1221" t="s">
        <v>1974</v>
      </c>
      <c r="B1221" t="str">
        <f>"30.4401"</f>
        <v>30.4401</v>
      </c>
      <c r="C1221" t="str">
        <f t="shared" si="27"/>
        <v>30</v>
      </c>
    </row>
    <row r="1222" spans="1:3" x14ac:dyDescent="0.25">
      <c r="A1222" t="s">
        <v>1975</v>
      </c>
      <c r="B1222" t="str">
        <f>"30.45"</f>
        <v>30.45</v>
      </c>
      <c r="C1222" t="str">
        <f t="shared" si="27"/>
        <v>30</v>
      </c>
    </row>
    <row r="1223" spans="1:3" x14ac:dyDescent="0.25">
      <c r="A1223" t="s">
        <v>1975</v>
      </c>
      <c r="B1223" t="str">
        <f>"30.4501"</f>
        <v>30.4501</v>
      </c>
      <c r="C1223" t="str">
        <f t="shared" si="27"/>
        <v>30</v>
      </c>
    </row>
    <row r="1224" spans="1:3" x14ac:dyDescent="0.25">
      <c r="A1224" t="s">
        <v>1976</v>
      </c>
      <c r="B1224" t="str">
        <f>"30.46"</f>
        <v>30.46</v>
      </c>
      <c r="C1224" t="str">
        <f t="shared" si="27"/>
        <v>30</v>
      </c>
    </row>
    <row r="1225" spans="1:3" x14ac:dyDescent="0.25">
      <c r="A1225" t="s">
        <v>1976</v>
      </c>
      <c r="B1225" t="str">
        <f>"30.4601"</f>
        <v>30.4601</v>
      </c>
      <c r="C1225" t="str">
        <f t="shared" si="27"/>
        <v>30</v>
      </c>
    </row>
    <row r="1226" spans="1:3" x14ac:dyDescent="0.25">
      <c r="A1226" t="s">
        <v>1977</v>
      </c>
      <c r="B1226" t="str">
        <f>"30.47"</f>
        <v>30.47</v>
      </c>
      <c r="C1226" t="str">
        <f t="shared" si="27"/>
        <v>30</v>
      </c>
    </row>
    <row r="1227" spans="1:3" x14ac:dyDescent="0.25">
      <c r="A1227" t="s">
        <v>1977</v>
      </c>
      <c r="B1227" t="str">
        <f>"30.4701"</f>
        <v>30.4701</v>
      </c>
      <c r="C1227" t="str">
        <f t="shared" si="27"/>
        <v>30</v>
      </c>
    </row>
    <row r="1228" spans="1:3" x14ac:dyDescent="0.25">
      <c r="A1228" t="s">
        <v>1978</v>
      </c>
      <c r="B1228" t="str">
        <f>"30.48"</f>
        <v>30.48</v>
      </c>
      <c r="C1228" t="str">
        <f t="shared" si="27"/>
        <v>30</v>
      </c>
    </row>
    <row r="1229" spans="1:3" x14ac:dyDescent="0.25">
      <c r="A1229" t="s">
        <v>1978</v>
      </c>
      <c r="B1229" t="str">
        <f>"30.4801"</f>
        <v>30.4801</v>
      </c>
      <c r="C1229" t="str">
        <f t="shared" si="27"/>
        <v>30</v>
      </c>
    </row>
    <row r="1230" spans="1:3" x14ac:dyDescent="0.25">
      <c r="A1230" t="s">
        <v>1979</v>
      </c>
      <c r="B1230" t="str">
        <f>"30.49"</f>
        <v>30.49</v>
      </c>
      <c r="C1230" t="str">
        <f t="shared" si="27"/>
        <v>30</v>
      </c>
    </row>
    <row r="1231" spans="1:3" x14ac:dyDescent="0.25">
      <c r="A1231" t="s">
        <v>1979</v>
      </c>
      <c r="B1231" t="str">
        <f>"30.4901"</f>
        <v>30.4901</v>
      </c>
      <c r="C1231" t="str">
        <f t="shared" si="27"/>
        <v>30</v>
      </c>
    </row>
    <row r="1232" spans="1:3" x14ac:dyDescent="0.25">
      <c r="A1232" t="s">
        <v>1980</v>
      </c>
      <c r="B1232" t="str">
        <f>"30.50"</f>
        <v>30.50</v>
      </c>
      <c r="C1232" t="str">
        <f t="shared" si="27"/>
        <v>30</v>
      </c>
    </row>
    <row r="1233" spans="1:3" x14ac:dyDescent="0.25">
      <c r="A1233" t="s">
        <v>1980</v>
      </c>
      <c r="B1233" t="str">
        <f>"30.5001"</f>
        <v>30.5001</v>
      </c>
      <c r="C1233" t="str">
        <f t="shared" si="27"/>
        <v>30</v>
      </c>
    </row>
    <row r="1234" spans="1:3" x14ac:dyDescent="0.25">
      <c r="A1234" t="s">
        <v>1981</v>
      </c>
      <c r="B1234" t="str">
        <f>"30.51"</f>
        <v>30.51</v>
      </c>
      <c r="C1234" t="str">
        <f t="shared" si="27"/>
        <v>30</v>
      </c>
    </row>
    <row r="1235" spans="1:3" x14ac:dyDescent="0.25">
      <c r="A1235" t="s">
        <v>1981</v>
      </c>
      <c r="B1235" t="str">
        <f>"30.5101"</f>
        <v>30.5101</v>
      </c>
      <c r="C1235" t="str">
        <f t="shared" si="27"/>
        <v>30</v>
      </c>
    </row>
    <row r="1236" spans="1:3" x14ac:dyDescent="0.25">
      <c r="A1236" t="s">
        <v>1982</v>
      </c>
      <c r="B1236" t="str">
        <f>"30.52"</f>
        <v>30.52</v>
      </c>
      <c r="C1236" t="str">
        <f t="shared" si="27"/>
        <v>30</v>
      </c>
    </row>
    <row r="1237" spans="1:3" x14ac:dyDescent="0.25">
      <c r="A1237" t="s">
        <v>1983</v>
      </c>
      <c r="B1237" t="str">
        <f>"30.5201"</f>
        <v>30.5201</v>
      </c>
      <c r="C1237" t="str">
        <f t="shared" si="27"/>
        <v>30</v>
      </c>
    </row>
    <row r="1238" spans="1:3" x14ac:dyDescent="0.25">
      <c r="A1238" t="s">
        <v>1984</v>
      </c>
      <c r="B1238" t="str">
        <f>"30.5202"</f>
        <v>30.5202</v>
      </c>
      <c r="C1238" t="str">
        <f t="shared" si="27"/>
        <v>30</v>
      </c>
    </row>
    <row r="1239" spans="1:3" x14ac:dyDescent="0.25">
      <c r="A1239" t="s">
        <v>1985</v>
      </c>
      <c r="B1239" t="str">
        <f>"30.5203"</f>
        <v>30.5203</v>
      </c>
      <c r="C1239" t="str">
        <f t="shared" si="27"/>
        <v>30</v>
      </c>
    </row>
    <row r="1240" spans="1:3" x14ac:dyDescent="0.25">
      <c r="A1240" t="s">
        <v>1986</v>
      </c>
      <c r="B1240" t="str">
        <f>"30.5299"</f>
        <v>30.5299</v>
      </c>
      <c r="C1240" t="str">
        <f t="shared" si="27"/>
        <v>30</v>
      </c>
    </row>
    <row r="1241" spans="1:3" x14ac:dyDescent="0.25">
      <c r="A1241" t="s">
        <v>1987</v>
      </c>
      <c r="B1241" t="str">
        <f>"30.53"</f>
        <v>30.53</v>
      </c>
      <c r="C1241" t="str">
        <f t="shared" si="27"/>
        <v>30</v>
      </c>
    </row>
    <row r="1242" spans="1:3" x14ac:dyDescent="0.25">
      <c r="A1242" t="s">
        <v>1987</v>
      </c>
      <c r="B1242" t="str">
        <f>"30.5301"</f>
        <v>30.5301</v>
      </c>
      <c r="C1242" t="str">
        <f t="shared" si="27"/>
        <v>30</v>
      </c>
    </row>
    <row r="1243" spans="1:3" x14ac:dyDescent="0.25">
      <c r="A1243" t="s">
        <v>1988</v>
      </c>
      <c r="B1243" t="str">
        <f>"30.70"</f>
        <v>30.70</v>
      </c>
      <c r="C1243" t="str">
        <f t="shared" si="27"/>
        <v>30</v>
      </c>
    </row>
    <row r="1244" spans="1:3" x14ac:dyDescent="0.25">
      <c r="A1244" t="s">
        <v>1989</v>
      </c>
      <c r="B1244" t="str">
        <f>"30.7001"</f>
        <v>30.7001</v>
      </c>
      <c r="C1244" t="str">
        <f t="shared" si="27"/>
        <v>30</v>
      </c>
    </row>
    <row r="1245" spans="1:3" x14ac:dyDescent="0.25">
      <c r="A1245" t="s">
        <v>1990</v>
      </c>
      <c r="B1245" t="str">
        <f>"30.7099"</f>
        <v>30.7099</v>
      </c>
      <c r="C1245" t="str">
        <f t="shared" si="27"/>
        <v>30</v>
      </c>
    </row>
    <row r="1246" spans="1:3" x14ac:dyDescent="0.25">
      <c r="A1246" t="s">
        <v>1991</v>
      </c>
      <c r="B1246" t="str">
        <f>"30.71"</f>
        <v>30.71</v>
      </c>
      <c r="C1246" t="str">
        <f t="shared" si="27"/>
        <v>30</v>
      </c>
    </row>
    <row r="1247" spans="1:3" x14ac:dyDescent="0.25">
      <c r="A1247" t="s">
        <v>1992</v>
      </c>
      <c r="B1247" t="str">
        <f>"30.7101"</f>
        <v>30.7101</v>
      </c>
      <c r="C1247" t="str">
        <f t="shared" si="27"/>
        <v>30</v>
      </c>
    </row>
    <row r="1248" spans="1:3" x14ac:dyDescent="0.25">
      <c r="A1248" t="s">
        <v>1993</v>
      </c>
      <c r="B1248" t="str">
        <f>"30.7102"</f>
        <v>30.7102</v>
      </c>
      <c r="C1248" t="str">
        <f t="shared" si="27"/>
        <v>30</v>
      </c>
    </row>
    <row r="1249" spans="1:3" x14ac:dyDescent="0.25">
      <c r="A1249" t="s">
        <v>1994</v>
      </c>
      <c r="B1249" t="str">
        <f>"30.7103"</f>
        <v>30.7103</v>
      </c>
      <c r="C1249" t="str">
        <f t="shared" si="27"/>
        <v>30</v>
      </c>
    </row>
    <row r="1250" spans="1:3" x14ac:dyDescent="0.25">
      <c r="A1250" t="s">
        <v>1995</v>
      </c>
      <c r="B1250" t="str">
        <f>"30.7104"</f>
        <v>30.7104</v>
      </c>
      <c r="C1250" t="str">
        <f t="shared" si="27"/>
        <v>30</v>
      </c>
    </row>
    <row r="1251" spans="1:3" x14ac:dyDescent="0.25">
      <c r="A1251" t="s">
        <v>1996</v>
      </c>
      <c r="B1251" t="str">
        <f>"30.7199"</f>
        <v>30.7199</v>
      </c>
      <c r="C1251" t="str">
        <f t="shared" si="27"/>
        <v>30</v>
      </c>
    </row>
    <row r="1252" spans="1:3" x14ac:dyDescent="0.25">
      <c r="A1252" t="s">
        <v>954</v>
      </c>
      <c r="B1252" t="str">
        <f>"30.99"</f>
        <v>30.99</v>
      </c>
      <c r="C1252" t="str">
        <f t="shared" si="27"/>
        <v>30</v>
      </c>
    </row>
    <row r="1253" spans="1:3" x14ac:dyDescent="0.25">
      <c r="A1253" t="s">
        <v>1997</v>
      </c>
      <c r="B1253" t="str">
        <f>"30.9999"</f>
        <v>30.9999</v>
      </c>
      <c r="C1253" t="str">
        <f t="shared" si="27"/>
        <v>30</v>
      </c>
    </row>
    <row r="1254" spans="1:3" x14ac:dyDescent="0.25">
      <c r="A1254" t="s">
        <v>1998</v>
      </c>
      <c r="B1254" t="str">
        <f>"31"</f>
        <v>31</v>
      </c>
      <c r="C1254" t="str">
        <f>"31"</f>
        <v>31</v>
      </c>
    </row>
    <row r="1255" spans="1:3" x14ac:dyDescent="0.25">
      <c r="A1255" t="s">
        <v>1999</v>
      </c>
      <c r="B1255" t="str">
        <f>"31.01"</f>
        <v>31.01</v>
      </c>
      <c r="C1255" t="str">
        <f t="shared" ref="C1255:C1271" si="28">"31"</f>
        <v>31</v>
      </c>
    </row>
    <row r="1256" spans="1:3" x14ac:dyDescent="0.25">
      <c r="A1256" t="s">
        <v>1999</v>
      </c>
      <c r="B1256" t="str">
        <f>"31.0101"</f>
        <v>31.0101</v>
      </c>
      <c r="C1256" t="str">
        <f t="shared" si="28"/>
        <v>31</v>
      </c>
    </row>
    <row r="1257" spans="1:3" x14ac:dyDescent="0.25">
      <c r="A1257" t="s">
        <v>2000</v>
      </c>
      <c r="B1257" t="str">
        <f>"31.03"</f>
        <v>31.03</v>
      </c>
      <c r="C1257" t="str">
        <f t="shared" si="28"/>
        <v>31</v>
      </c>
    </row>
    <row r="1258" spans="1:3" x14ac:dyDescent="0.25">
      <c r="A1258" t="s">
        <v>2001</v>
      </c>
      <c r="B1258" t="str">
        <f>"31.0301"</f>
        <v>31.0301</v>
      </c>
      <c r="C1258" t="str">
        <f t="shared" si="28"/>
        <v>31</v>
      </c>
    </row>
    <row r="1259" spans="1:3" x14ac:dyDescent="0.25">
      <c r="A1259" t="s">
        <v>955</v>
      </c>
      <c r="B1259" t="str">
        <f>"31.0302"</f>
        <v>31.0302</v>
      </c>
      <c r="C1259" t="str">
        <f t="shared" si="28"/>
        <v>31</v>
      </c>
    </row>
    <row r="1260" spans="1:3" x14ac:dyDescent="0.25">
      <c r="A1260" t="s">
        <v>2002</v>
      </c>
      <c r="B1260" t="str">
        <f>"31.0399"</f>
        <v>31.0399</v>
      </c>
      <c r="C1260" t="str">
        <f t="shared" si="28"/>
        <v>31</v>
      </c>
    </row>
    <row r="1261" spans="1:3" x14ac:dyDescent="0.25">
      <c r="A1261" t="s">
        <v>2003</v>
      </c>
      <c r="B1261" t="str">
        <f>"31.05"</f>
        <v>31.05</v>
      </c>
      <c r="C1261" t="str">
        <f t="shared" si="28"/>
        <v>31</v>
      </c>
    </row>
    <row r="1262" spans="1:3" x14ac:dyDescent="0.25">
      <c r="A1262" t="s">
        <v>2004</v>
      </c>
      <c r="B1262" t="str">
        <f>"31.0501"</f>
        <v>31.0501</v>
      </c>
      <c r="C1262" t="str">
        <f t="shared" si="28"/>
        <v>31</v>
      </c>
    </row>
    <row r="1263" spans="1:3" x14ac:dyDescent="0.25">
      <c r="A1263" t="s">
        <v>956</v>
      </c>
      <c r="B1263" t="str">
        <f>"31.0504"</f>
        <v>31.0504</v>
      </c>
      <c r="C1263" t="str">
        <f t="shared" si="28"/>
        <v>31</v>
      </c>
    </row>
    <row r="1264" spans="1:3" x14ac:dyDescent="0.25">
      <c r="A1264" t="s">
        <v>2005</v>
      </c>
      <c r="B1264" t="str">
        <f>"31.0505"</f>
        <v>31.0505</v>
      </c>
      <c r="C1264" t="str">
        <f t="shared" si="28"/>
        <v>31</v>
      </c>
    </row>
    <row r="1265" spans="1:3" x14ac:dyDescent="0.25">
      <c r="A1265" t="s">
        <v>957</v>
      </c>
      <c r="B1265" t="str">
        <f>"31.0507"</f>
        <v>31.0507</v>
      </c>
      <c r="C1265" t="str">
        <f t="shared" si="28"/>
        <v>31</v>
      </c>
    </row>
    <row r="1266" spans="1:3" x14ac:dyDescent="0.25">
      <c r="A1266" t="s">
        <v>958</v>
      </c>
      <c r="B1266" t="str">
        <f>"31.0508"</f>
        <v>31.0508</v>
      </c>
      <c r="C1266" t="str">
        <f t="shared" si="28"/>
        <v>31</v>
      </c>
    </row>
    <row r="1267" spans="1:3" x14ac:dyDescent="0.25">
      <c r="A1267" t="s">
        <v>2006</v>
      </c>
      <c r="B1267" t="str">
        <f>"31.0599"</f>
        <v>31.0599</v>
      </c>
      <c r="C1267" t="str">
        <f t="shared" si="28"/>
        <v>31</v>
      </c>
    </row>
    <row r="1268" spans="1:3" x14ac:dyDescent="0.25">
      <c r="A1268" t="s">
        <v>959</v>
      </c>
      <c r="B1268" t="str">
        <f>"31.06"</f>
        <v>31.06</v>
      </c>
      <c r="C1268" t="str">
        <f t="shared" si="28"/>
        <v>31</v>
      </c>
    </row>
    <row r="1269" spans="1:3" x14ac:dyDescent="0.25">
      <c r="A1269" t="s">
        <v>959</v>
      </c>
      <c r="B1269" t="str">
        <f>"31.0601"</f>
        <v>31.0601</v>
      </c>
      <c r="C1269" t="str">
        <f t="shared" si="28"/>
        <v>31</v>
      </c>
    </row>
    <row r="1270" spans="1:3" x14ac:dyDescent="0.25">
      <c r="A1270" t="s">
        <v>2007</v>
      </c>
      <c r="B1270" t="str">
        <f>"31.99"</f>
        <v>31.99</v>
      </c>
      <c r="C1270" t="str">
        <f t="shared" si="28"/>
        <v>31</v>
      </c>
    </row>
    <row r="1271" spans="1:3" x14ac:dyDescent="0.25">
      <c r="A1271" t="s">
        <v>2007</v>
      </c>
      <c r="B1271" t="str">
        <f>"31.9999"</f>
        <v>31.9999</v>
      </c>
      <c r="C1271" t="str">
        <f t="shared" si="28"/>
        <v>31</v>
      </c>
    </row>
    <row r="1272" spans="1:3" x14ac:dyDescent="0.25">
      <c r="A1272" t="s">
        <v>960</v>
      </c>
      <c r="B1272" t="str">
        <f>"32"</f>
        <v>32</v>
      </c>
      <c r="C1272" t="str">
        <f>"32"</f>
        <v>32</v>
      </c>
    </row>
    <row r="1273" spans="1:3" x14ac:dyDescent="0.25">
      <c r="A1273" t="s">
        <v>961</v>
      </c>
      <c r="B1273" t="str">
        <f>"32.01"</f>
        <v>32.01</v>
      </c>
      <c r="C1273" t="str">
        <f t="shared" ref="C1273:C1290" si="29">"32"</f>
        <v>32</v>
      </c>
    </row>
    <row r="1274" spans="1:3" x14ac:dyDescent="0.25">
      <c r="A1274" t="s">
        <v>962</v>
      </c>
      <c r="B1274" t="str">
        <f>"32.0101"</f>
        <v>32.0101</v>
      </c>
      <c r="C1274" t="str">
        <f t="shared" si="29"/>
        <v>32</v>
      </c>
    </row>
    <row r="1275" spans="1:3" x14ac:dyDescent="0.25">
      <c r="A1275" t="s">
        <v>963</v>
      </c>
      <c r="B1275" t="str">
        <f>"32.0104"</f>
        <v>32.0104</v>
      </c>
      <c r="C1275" t="str">
        <f t="shared" si="29"/>
        <v>32</v>
      </c>
    </row>
    <row r="1276" spans="1:3" x14ac:dyDescent="0.25">
      <c r="A1276" t="s">
        <v>964</v>
      </c>
      <c r="B1276" t="str">
        <f>"32.0105"</f>
        <v>32.0105</v>
      </c>
      <c r="C1276" t="str">
        <f t="shared" si="29"/>
        <v>32</v>
      </c>
    </row>
    <row r="1277" spans="1:3" x14ac:dyDescent="0.25">
      <c r="A1277" t="s">
        <v>965</v>
      </c>
      <c r="B1277" t="str">
        <f>"32.0107"</f>
        <v>32.0107</v>
      </c>
      <c r="C1277" t="str">
        <f t="shared" si="29"/>
        <v>32</v>
      </c>
    </row>
    <row r="1278" spans="1:3" x14ac:dyDescent="0.25">
      <c r="A1278" t="s">
        <v>966</v>
      </c>
      <c r="B1278" t="str">
        <f>"32.0108"</f>
        <v>32.0108</v>
      </c>
      <c r="C1278" t="str">
        <f t="shared" si="29"/>
        <v>32</v>
      </c>
    </row>
    <row r="1279" spans="1:3" x14ac:dyDescent="0.25">
      <c r="A1279" t="s">
        <v>967</v>
      </c>
      <c r="B1279" t="str">
        <f>"32.0109"</f>
        <v>32.0109</v>
      </c>
      <c r="C1279" t="str">
        <f t="shared" si="29"/>
        <v>32</v>
      </c>
    </row>
    <row r="1280" spans="1:3" x14ac:dyDescent="0.25">
      <c r="A1280" t="s">
        <v>968</v>
      </c>
      <c r="B1280" t="str">
        <f>"32.0110"</f>
        <v>32.0110</v>
      </c>
      <c r="C1280" t="str">
        <f t="shared" si="29"/>
        <v>32</v>
      </c>
    </row>
    <row r="1281" spans="1:3" x14ac:dyDescent="0.25">
      <c r="A1281" t="s">
        <v>969</v>
      </c>
      <c r="B1281" t="str">
        <f>"32.0111"</f>
        <v>32.0111</v>
      </c>
      <c r="C1281" t="str">
        <f t="shared" si="29"/>
        <v>32</v>
      </c>
    </row>
    <row r="1282" spans="1:3" x14ac:dyDescent="0.25">
      <c r="A1282" t="s">
        <v>2008</v>
      </c>
      <c r="B1282" t="str">
        <f>"32.0112"</f>
        <v>32.0112</v>
      </c>
      <c r="C1282" t="str">
        <f t="shared" si="29"/>
        <v>32</v>
      </c>
    </row>
    <row r="1283" spans="1:3" x14ac:dyDescent="0.25">
      <c r="A1283" t="s">
        <v>970</v>
      </c>
      <c r="B1283" t="str">
        <f>"32.0199"</f>
        <v>32.0199</v>
      </c>
      <c r="C1283" t="str">
        <f t="shared" si="29"/>
        <v>32</v>
      </c>
    </row>
    <row r="1284" spans="1:3" x14ac:dyDescent="0.25">
      <c r="A1284" t="s">
        <v>2009</v>
      </c>
      <c r="B1284" t="str">
        <f>"32.02"</f>
        <v>32.02</v>
      </c>
      <c r="C1284" t="str">
        <f t="shared" si="29"/>
        <v>32</v>
      </c>
    </row>
    <row r="1285" spans="1:3" x14ac:dyDescent="0.25">
      <c r="A1285" t="s">
        <v>2010</v>
      </c>
      <c r="B1285" t="str">
        <f>"32.0201"</f>
        <v>32.0201</v>
      </c>
      <c r="C1285" t="str">
        <f t="shared" si="29"/>
        <v>32</v>
      </c>
    </row>
    <row r="1286" spans="1:3" x14ac:dyDescent="0.25">
      <c r="A1286" t="s">
        <v>2011</v>
      </c>
      <c r="B1286" t="str">
        <f>"32.0202"</f>
        <v>32.0202</v>
      </c>
      <c r="C1286" t="str">
        <f t="shared" si="29"/>
        <v>32</v>
      </c>
    </row>
    <row r="1287" spans="1:3" x14ac:dyDescent="0.25">
      <c r="A1287" t="s">
        <v>2012</v>
      </c>
      <c r="B1287" t="str">
        <f>"32.0203"</f>
        <v>32.0203</v>
      </c>
      <c r="C1287" t="str">
        <f t="shared" si="29"/>
        <v>32</v>
      </c>
    </row>
    <row r="1288" spans="1:3" x14ac:dyDescent="0.25">
      <c r="A1288" t="s">
        <v>2013</v>
      </c>
      <c r="B1288" t="str">
        <f>"32.0204"</f>
        <v>32.0204</v>
      </c>
      <c r="C1288" t="str">
        <f t="shared" si="29"/>
        <v>32</v>
      </c>
    </row>
    <row r="1289" spans="1:3" x14ac:dyDescent="0.25">
      <c r="A1289" t="s">
        <v>2014</v>
      </c>
      <c r="B1289" t="str">
        <f>"32.0205"</f>
        <v>32.0205</v>
      </c>
      <c r="C1289" t="str">
        <f t="shared" si="29"/>
        <v>32</v>
      </c>
    </row>
    <row r="1290" spans="1:3" x14ac:dyDescent="0.25">
      <c r="A1290" t="s">
        <v>2015</v>
      </c>
      <c r="B1290" t="str">
        <f>"32.0299"</f>
        <v>32.0299</v>
      </c>
      <c r="C1290" t="str">
        <f t="shared" si="29"/>
        <v>32</v>
      </c>
    </row>
    <row r="1291" spans="1:3" x14ac:dyDescent="0.25">
      <c r="A1291" t="s">
        <v>971</v>
      </c>
      <c r="B1291" t="str">
        <f>"33"</f>
        <v>33</v>
      </c>
      <c r="C1291" t="str">
        <f>"33"</f>
        <v>33</v>
      </c>
    </row>
    <row r="1292" spans="1:3" x14ac:dyDescent="0.25">
      <c r="A1292" t="s">
        <v>972</v>
      </c>
      <c r="B1292" t="str">
        <f>"33.01"</f>
        <v>33.01</v>
      </c>
      <c r="C1292" t="str">
        <f t="shared" ref="C1292:C1299" si="30">"33"</f>
        <v>33</v>
      </c>
    </row>
    <row r="1293" spans="1:3" x14ac:dyDescent="0.25">
      <c r="A1293" t="s">
        <v>973</v>
      </c>
      <c r="B1293" t="str">
        <f>"33.0101"</f>
        <v>33.0101</v>
      </c>
      <c r="C1293" t="str">
        <f t="shared" si="30"/>
        <v>33</v>
      </c>
    </row>
    <row r="1294" spans="1:3" x14ac:dyDescent="0.25">
      <c r="A1294" t="s">
        <v>974</v>
      </c>
      <c r="B1294" t="str">
        <f>"33.0102"</f>
        <v>33.0102</v>
      </c>
      <c r="C1294" t="str">
        <f t="shared" si="30"/>
        <v>33</v>
      </c>
    </row>
    <row r="1295" spans="1:3" x14ac:dyDescent="0.25">
      <c r="A1295" t="s">
        <v>975</v>
      </c>
      <c r="B1295" t="str">
        <f>"33.0103"</f>
        <v>33.0103</v>
      </c>
      <c r="C1295" t="str">
        <f t="shared" si="30"/>
        <v>33</v>
      </c>
    </row>
    <row r="1296" spans="1:3" x14ac:dyDescent="0.25">
      <c r="A1296" t="s">
        <v>976</v>
      </c>
      <c r="B1296" t="str">
        <f>"33.0104"</f>
        <v>33.0104</v>
      </c>
      <c r="C1296" t="str">
        <f t="shared" si="30"/>
        <v>33</v>
      </c>
    </row>
    <row r="1297" spans="1:3" x14ac:dyDescent="0.25">
      <c r="A1297" t="s">
        <v>977</v>
      </c>
      <c r="B1297" t="str">
        <f>"33.0105"</f>
        <v>33.0105</v>
      </c>
      <c r="C1297" t="str">
        <f t="shared" si="30"/>
        <v>33</v>
      </c>
    </row>
    <row r="1298" spans="1:3" x14ac:dyDescent="0.25">
      <c r="A1298" t="s">
        <v>2016</v>
      </c>
      <c r="B1298" t="str">
        <f>"33.0106"</f>
        <v>33.0106</v>
      </c>
      <c r="C1298" t="str">
        <f t="shared" si="30"/>
        <v>33</v>
      </c>
    </row>
    <row r="1299" spans="1:3" x14ac:dyDescent="0.25">
      <c r="A1299" t="s">
        <v>978</v>
      </c>
      <c r="B1299" t="str">
        <f>"33.0199"</f>
        <v>33.0199</v>
      </c>
      <c r="C1299" t="str">
        <f t="shared" si="30"/>
        <v>33</v>
      </c>
    </row>
    <row r="1300" spans="1:3" x14ac:dyDescent="0.25">
      <c r="A1300" t="s">
        <v>979</v>
      </c>
      <c r="B1300" t="str">
        <f>"34"</f>
        <v>34</v>
      </c>
      <c r="C1300" t="str">
        <f>"34"</f>
        <v>34</v>
      </c>
    </row>
    <row r="1301" spans="1:3" x14ac:dyDescent="0.25">
      <c r="A1301" t="s">
        <v>980</v>
      </c>
      <c r="B1301" t="str">
        <f>"34.01"</f>
        <v>34.01</v>
      </c>
      <c r="C1301" t="str">
        <f t="shared" ref="C1301:C1306" si="31">"34"</f>
        <v>34</v>
      </c>
    </row>
    <row r="1302" spans="1:3" x14ac:dyDescent="0.25">
      <c r="A1302" t="s">
        <v>981</v>
      </c>
      <c r="B1302" t="str">
        <f>"34.0102"</f>
        <v>34.0102</v>
      </c>
      <c r="C1302" t="str">
        <f t="shared" si="31"/>
        <v>34</v>
      </c>
    </row>
    <row r="1303" spans="1:3" x14ac:dyDescent="0.25">
      <c r="A1303" t="s">
        <v>982</v>
      </c>
      <c r="B1303" t="str">
        <f>"34.0103"</f>
        <v>34.0103</v>
      </c>
      <c r="C1303" t="str">
        <f t="shared" si="31"/>
        <v>34</v>
      </c>
    </row>
    <row r="1304" spans="1:3" x14ac:dyDescent="0.25">
      <c r="A1304" t="s">
        <v>983</v>
      </c>
      <c r="B1304" t="str">
        <f>"34.0104"</f>
        <v>34.0104</v>
      </c>
      <c r="C1304" t="str">
        <f t="shared" si="31"/>
        <v>34</v>
      </c>
    </row>
    <row r="1305" spans="1:3" x14ac:dyDescent="0.25">
      <c r="A1305" t="s">
        <v>2017</v>
      </c>
      <c r="B1305" t="str">
        <f>"34.0105"</f>
        <v>34.0105</v>
      </c>
      <c r="C1305" t="str">
        <f t="shared" si="31"/>
        <v>34</v>
      </c>
    </row>
    <row r="1306" spans="1:3" x14ac:dyDescent="0.25">
      <c r="A1306" t="s">
        <v>984</v>
      </c>
      <c r="B1306" t="str">
        <f>"34.0199"</f>
        <v>34.0199</v>
      </c>
      <c r="C1306" t="str">
        <f t="shared" si="31"/>
        <v>34</v>
      </c>
    </row>
    <row r="1307" spans="1:3" x14ac:dyDescent="0.25">
      <c r="A1307" t="s">
        <v>985</v>
      </c>
      <c r="B1307" t="str">
        <f>"35"</f>
        <v>35</v>
      </c>
      <c r="C1307" t="str">
        <f>"35"</f>
        <v>35</v>
      </c>
    </row>
    <row r="1308" spans="1:3" x14ac:dyDescent="0.25">
      <c r="A1308" t="s">
        <v>986</v>
      </c>
      <c r="B1308" t="str">
        <f>"35.01"</f>
        <v>35.01</v>
      </c>
      <c r="C1308" t="str">
        <f t="shared" ref="C1308:C1313" si="32">"35"</f>
        <v>35</v>
      </c>
    </row>
    <row r="1309" spans="1:3" x14ac:dyDescent="0.25">
      <c r="A1309" t="s">
        <v>987</v>
      </c>
      <c r="B1309" t="str">
        <f>"35.0101"</f>
        <v>35.0101</v>
      </c>
      <c r="C1309" t="str">
        <f t="shared" si="32"/>
        <v>35</v>
      </c>
    </row>
    <row r="1310" spans="1:3" x14ac:dyDescent="0.25">
      <c r="A1310" t="s">
        <v>988</v>
      </c>
      <c r="B1310" t="str">
        <f>"35.0102"</f>
        <v>35.0102</v>
      </c>
      <c r="C1310" t="str">
        <f t="shared" si="32"/>
        <v>35</v>
      </c>
    </row>
    <row r="1311" spans="1:3" x14ac:dyDescent="0.25">
      <c r="A1311" t="s">
        <v>989</v>
      </c>
      <c r="B1311" t="str">
        <f>"35.0103"</f>
        <v>35.0103</v>
      </c>
      <c r="C1311" t="str">
        <f t="shared" si="32"/>
        <v>35</v>
      </c>
    </row>
    <row r="1312" spans="1:3" x14ac:dyDescent="0.25">
      <c r="A1312" t="s">
        <v>2018</v>
      </c>
      <c r="B1312" t="str">
        <f>"35.0105"</f>
        <v>35.0105</v>
      </c>
      <c r="C1312" t="str">
        <f t="shared" si="32"/>
        <v>35</v>
      </c>
    </row>
    <row r="1313" spans="1:3" x14ac:dyDescent="0.25">
      <c r="A1313" t="s">
        <v>990</v>
      </c>
      <c r="B1313" t="str">
        <f>"35.0199"</f>
        <v>35.0199</v>
      </c>
      <c r="C1313" t="str">
        <f t="shared" si="32"/>
        <v>35</v>
      </c>
    </row>
    <row r="1314" spans="1:3" x14ac:dyDescent="0.25">
      <c r="A1314" t="s">
        <v>991</v>
      </c>
      <c r="B1314" t="str">
        <f>"36"</f>
        <v>36</v>
      </c>
      <c r="C1314" t="str">
        <f>"36"</f>
        <v>36</v>
      </c>
    </row>
    <row r="1315" spans="1:3" x14ac:dyDescent="0.25">
      <c r="A1315" t="s">
        <v>992</v>
      </c>
      <c r="B1315" t="str">
        <f>"36.01"</f>
        <v>36.01</v>
      </c>
      <c r="C1315" t="str">
        <f t="shared" ref="C1315:C1346" si="33">"36"</f>
        <v>36</v>
      </c>
    </row>
    <row r="1316" spans="1:3" x14ac:dyDescent="0.25">
      <c r="A1316" t="s">
        <v>993</v>
      </c>
      <c r="B1316" t="str">
        <f>"36.0101"</f>
        <v>36.0101</v>
      </c>
      <c r="C1316" t="str">
        <f t="shared" si="33"/>
        <v>36</v>
      </c>
    </row>
    <row r="1317" spans="1:3" x14ac:dyDescent="0.25">
      <c r="A1317" t="s">
        <v>994</v>
      </c>
      <c r="B1317" t="str">
        <f>"36.0102"</f>
        <v>36.0102</v>
      </c>
      <c r="C1317" t="str">
        <f t="shared" si="33"/>
        <v>36</v>
      </c>
    </row>
    <row r="1318" spans="1:3" x14ac:dyDescent="0.25">
      <c r="A1318" t="s">
        <v>995</v>
      </c>
      <c r="B1318" t="str">
        <f>"36.0103"</f>
        <v>36.0103</v>
      </c>
      <c r="C1318" t="str">
        <f t="shared" si="33"/>
        <v>36</v>
      </c>
    </row>
    <row r="1319" spans="1:3" x14ac:dyDescent="0.25">
      <c r="A1319" t="s">
        <v>996</v>
      </c>
      <c r="B1319" t="str">
        <f>"36.0105"</f>
        <v>36.0105</v>
      </c>
      <c r="C1319" t="str">
        <f t="shared" si="33"/>
        <v>36</v>
      </c>
    </row>
    <row r="1320" spans="1:3" x14ac:dyDescent="0.25">
      <c r="A1320" t="s">
        <v>997</v>
      </c>
      <c r="B1320" t="str">
        <f>"36.0106"</f>
        <v>36.0106</v>
      </c>
      <c r="C1320" t="str">
        <f t="shared" si="33"/>
        <v>36</v>
      </c>
    </row>
    <row r="1321" spans="1:3" x14ac:dyDescent="0.25">
      <c r="A1321" t="s">
        <v>998</v>
      </c>
      <c r="B1321" t="str">
        <f>"36.0107"</f>
        <v>36.0107</v>
      </c>
      <c r="C1321" t="str">
        <f t="shared" si="33"/>
        <v>36</v>
      </c>
    </row>
    <row r="1322" spans="1:3" x14ac:dyDescent="0.25">
      <c r="A1322" t="s">
        <v>999</v>
      </c>
      <c r="B1322" t="str">
        <f>"36.0108"</f>
        <v>36.0108</v>
      </c>
      <c r="C1322" t="str">
        <f t="shared" si="33"/>
        <v>36</v>
      </c>
    </row>
    <row r="1323" spans="1:3" x14ac:dyDescent="0.25">
      <c r="A1323" t="s">
        <v>1000</v>
      </c>
      <c r="B1323" t="str">
        <f>"36.0109"</f>
        <v>36.0109</v>
      </c>
      <c r="C1323" t="str">
        <f t="shared" si="33"/>
        <v>36</v>
      </c>
    </row>
    <row r="1324" spans="1:3" x14ac:dyDescent="0.25">
      <c r="A1324" t="s">
        <v>1001</v>
      </c>
      <c r="B1324" t="str">
        <f>"36.0110"</f>
        <v>36.0110</v>
      </c>
      <c r="C1324" t="str">
        <f t="shared" si="33"/>
        <v>36</v>
      </c>
    </row>
    <row r="1325" spans="1:3" x14ac:dyDescent="0.25">
      <c r="A1325" t="s">
        <v>1002</v>
      </c>
      <c r="B1325" t="str">
        <f>"36.0111"</f>
        <v>36.0111</v>
      </c>
      <c r="C1325" t="str">
        <f t="shared" si="33"/>
        <v>36</v>
      </c>
    </row>
    <row r="1326" spans="1:3" x14ac:dyDescent="0.25">
      <c r="A1326" t="s">
        <v>1003</v>
      </c>
      <c r="B1326" t="str">
        <f>"36.0112"</f>
        <v>36.0112</v>
      </c>
      <c r="C1326" t="str">
        <f t="shared" si="33"/>
        <v>36</v>
      </c>
    </row>
    <row r="1327" spans="1:3" x14ac:dyDescent="0.25">
      <c r="A1327" t="s">
        <v>1004</v>
      </c>
      <c r="B1327" t="str">
        <f>"36.0113"</f>
        <v>36.0113</v>
      </c>
      <c r="C1327" t="str">
        <f t="shared" si="33"/>
        <v>36</v>
      </c>
    </row>
    <row r="1328" spans="1:3" x14ac:dyDescent="0.25">
      <c r="A1328" t="s">
        <v>1005</v>
      </c>
      <c r="B1328" t="str">
        <f>"36.0114"</f>
        <v>36.0114</v>
      </c>
      <c r="C1328" t="str">
        <f t="shared" si="33"/>
        <v>36</v>
      </c>
    </row>
    <row r="1329" spans="1:3" x14ac:dyDescent="0.25">
      <c r="A1329" t="s">
        <v>1006</v>
      </c>
      <c r="B1329" t="str">
        <f>"36.0115"</f>
        <v>36.0115</v>
      </c>
      <c r="C1329" t="str">
        <f t="shared" si="33"/>
        <v>36</v>
      </c>
    </row>
    <row r="1330" spans="1:3" x14ac:dyDescent="0.25">
      <c r="A1330" t="s">
        <v>1007</v>
      </c>
      <c r="B1330" t="str">
        <f>"36.0116"</f>
        <v>36.0116</v>
      </c>
      <c r="C1330" t="str">
        <f t="shared" si="33"/>
        <v>36</v>
      </c>
    </row>
    <row r="1331" spans="1:3" x14ac:dyDescent="0.25">
      <c r="A1331" t="s">
        <v>1008</v>
      </c>
      <c r="B1331" t="str">
        <f>"36.0117"</f>
        <v>36.0117</v>
      </c>
      <c r="C1331" t="str">
        <f t="shared" si="33"/>
        <v>36</v>
      </c>
    </row>
    <row r="1332" spans="1:3" x14ac:dyDescent="0.25">
      <c r="A1332" t="s">
        <v>1009</v>
      </c>
      <c r="B1332" t="str">
        <f>"36.0118"</f>
        <v>36.0118</v>
      </c>
      <c r="C1332" t="str">
        <f t="shared" si="33"/>
        <v>36</v>
      </c>
    </row>
    <row r="1333" spans="1:3" x14ac:dyDescent="0.25">
      <c r="A1333" t="s">
        <v>1010</v>
      </c>
      <c r="B1333" t="str">
        <f>"36.0119"</f>
        <v>36.0119</v>
      </c>
      <c r="C1333" t="str">
        <f t="shared" si="33"/>
        <v>36</v>
      </c>
    </row>
    <row r="1334" spans="1:3" x14ac:dyDescent="0.25">
      <c r="A1334" t="s">
        <v>2019</v>
      </c>
      <c r="B1334" t="str">
        <f>"36.0120"</f>
        <v>36.0120</v>
      </c>
      <c r="C1334" t="str">
        <f t="shared" si="33"/>
        <v>36</v>
      </c>
    </row>
    <row r="1335" spans="1:3" x14ac:dyDescent="0.25">
      <c r="A1335" t="s">
        <v>2020</v>
      </c>
      <c r="B1335" t="str">
        <f>"36.0121"</f>
        <v>36.0121</v>
      </c>
      <c r="C1335" t="str">
        <f t="shared" si="33"/>
        <v>36</v>
      </c>
    </row>
    <row r="1336" spans="1:3" x14ac:dyDescent="0.25">
      <c r="A1336" t="s">
        <v>2021</v>
      </c>
      <c r="B1336" t="str">
        <f>"36.0122"</f>
        <v>36.0122</v>
      </c>
      <c r="C1336" t="str">
        <f t="shared" si="33"/>
        <v>36</v>
      </c>
    </row>
    <row r="1337" spans="1:3" x14ac:dyDescent="0.25">
      <c r="A1337" t="s">
        <v>2022</v>
      </c>
      <c r="B1337" t="str">
        <f>"36.0123"</f>
        <v>36.0123</v>
      </c>
      <c r="C1337" t="str">
        <f t="shared" si="33"/>
        <v>36</v>
      </c>
    </row>
    <row r="1338" spans="1:3" x14ac:dyDescent="0.25">
      <c r="A1338" t="s">
        <v>1011</v>
      </c>
      <c r="B1338" t="str">
        <f>"36.0199"</f>
        <v>36.0199</v>
      </c>
      <c r="C1338" t="str">
        <f t="shared" si="33"/>
        <v>36</v>
      </c>
    </row>
    <row r="1339" spans="1:3" x14ac:dyDescent="0.25">
      <c r="A1339" t="s">
        <v>2023</v>
      </c>
      <c r="B1339" t="str">
        <f>"36.02"</f>
        <v>36.02</v>
      </c>
      <c r="C1339" t="str">
        <f t="shared" si="33"/>
        <v>36</v>
      </c>
    </row>
    <row r="1340" spans="1:3" x14ac:dyDescent="0.25">
      <c r="A1340" t="s">
        <v>1010</v>
      </c>
      <c r="B1340" t="str">
        <f>"36.0202"</f>
        <v>36.0202</v>
      </c>
      <c r="C1340" t="str">
        <f t="shared" si="33"/>
        <v>36</v>
      </c>
    </row>
    <row r="1341" spans="1:3" x14ac:dyDescent="0.25">
      <c r="A1341" t="s">
        <v>2024</v>
      </c>
      <c r="B1341" t="str">
        <f>"36.0203"</f>
        <v>36.0203</v>
      </c>
      <c r="C1341" t="str">
        <f t="shared" si="33"/>
        <v>36</v>
      </c>
    </row>
    <row r="1342" spans="1:3" x14ac:dyDescent="0.25">
      <c r="A1342" t="s">
        <v>2025</v>
      </c>
      <c r="B1342" t="str">
        <f>"36.0204"</f>
        <v>36.0204</v>
      </c>
      <c r="C1342" t="str">
        <f t="shared" si="33"/>
        <v>36</v>
      </c>
    </row>
    <row r="1343" spans="1:3" x14ac:dyDescent="0.25">
      <c r="A1343" t="s">
        <v>2026</v>
      </c>
      <c r="B1343" t="str">
        <f>"36.0205"</f>
        <v>36.0205</v>
      </c>
      <c r="C1343" t="str">
        <f t="shared" si="33"/>
        <v>36</v>
      </c>
    </row>
    <row r="1344" spans="1:3" x14ac:dyDescent="0.25">
      <c r="A1344" t="s">
        <v>2027</v>
      </c>
      <c r="B1344" t="str">
        <f>"36.0206"</f>
        <v>36.0206</v>
      </c>
      <c r="C1344" t="str">
        <f t="shared" si="33"/>
        <v>36</v>
      </c>
    </row>
    <row r="1345" spans="1:3" x14ac:dyDescent="0.25">
      <c r="A1345" t="s">
        <v>2028</v>
      </c>
      <c r="B1345" t="str">
        <f>"36.0207"</f>
        <v>36.0207</v>
      </c>
      <c r="C1345" t="str">
        <f t="shared" si="33"/>
        <v>36</v>
      </c>
    </row>
    <row r="1346" spans="1:3" x14ac:dyDescent="0.25">
      <c r="A1346" t="s">
        <v>2029</v>
      </c>
      <c r="B1346" t="str">
        <f>"36.0299"</f>
        <v>36.0299</v>
      </c>
      <c r="C1346" t="str">
        <f t="shared" si="33"/>
        <v>36</v>
      </c>
    </row>
    <row r="1347" spans="1:3" x14ac:dyDescent="0.25">
      <c r="A1347" t="s">
        <v>1012</v>
      </c>
      <c r="B1347" t="str">
        <f>"37"</f>
        <v>37</v>
      </c>
      <c r="C1347" t="str">
        <f>"37"</f>
        <v>37</v>
      </c>
    </row>
    <row r="1348" spans="1:3" x14ac:dyDescent="0.25">
      <c r="A1348" t="s">
        <v>1013</v>
      </c>
      <c r="B1348" t="str">
        <f>"37.01"</f>
        <v>37.01</v>
      </c>
      <c r="C1348" t="str">
        <f t="shared" ref="C1348:C1355" si="34">"37"</f>
        <v>37</v>
      </c>
    </row>
    <row r="1349" spans="1:3" x14ac:dyDescent="0.25">
      <c r="A1349" t="s">
        <v>1014</v>
      </c>
      <c r="B1349" t="str">
        <f>"37.0101"</f>
        <v>37.0101</v>
      </c>
      <c r="C1349" t="str">
        <f t="shared" si="34"/>
        <v>37</v>
      </c>
    </row>
    <row r="1350" spans="1:3" x14ac:dyDescent="0.25">
      <c r="A1350" t="s">
        <v>1015</v>
      </c>
      <c r="B1350" t="str">
        <f>"37.0102"</f>
        <v>37.0102</v>
      </c>
      <c r="C1350" t="str">
        <f t="shared" si="34"/>
        <v>37</v>
      </c>
    </row>
    <row r="1351" spans="1:3" x14ac:dyDescent="0.25">
      <c r="A1351" t="s">
        <v>1016</v>
      </c>
      <c r="B1351" t="str">
        <f>"37.0103"</f>
        <v>37.0103</v>
      </c>
      <c r="C1351" t="str">
        <f t="shared" si="34"/>
        <v>37</v>
      </c>
    </row>
    <row r="1352" spans="1:3" x14ac:dyDescent="0.25">
      <c r="A1352" t="s">
        <v>1017</v>
      </c>
      <c r="B1352" t="str">
        <f>"37.0104"</f>
        <v>37.0104</v>
      </c>
      <c r="C1352" t="str">
        <f t="shared" si="34"/>
        <v>37</v>
      </c>
    </row>
    <row r="1353" spans="1:3" x14ac:dyDescent="0.25">
      <c r="A1353" t="s">
        <v>2030</v>
      </c>
      <c r="B1353" t="str">
        <f>"37.0106"</f>
        <v>37.0106</v>
      </c>
      <c r="C1353" t="str">
        <f t="shared" si="34"/>
        <v>37</v>
      </c>
    </row>
    <row r="1354" spans="1:3" x14ac:dyDescent="0.25">
      <c r="A1354" t="s">
        <v>2031</v>
      </c>
      <c r="B1354" t="str">
        <f>"37.0107"</f>
        <v>37.0107</v>
      </c>
      <c r="C1354" t="str">
        <f t="shared" si="34"/>
        <v>37</v>
      </c>
    </row>
    <row r="1355" spans="1:3" x14ac:dyDescent="0.25">
      <c r="A1355" t="s">
        <v>1018</v>
      </c>
      <c r="B1355" t="str">
        <f>"37.0199"</f>
        <v>37.0199</v>
      </c>
      <c r="C1355" t="str">
        <f t="shared" si="34"/>
        <v>37</v>
      </c>
    </row>
    <row r="1356" spans="1:3" x14ac:dyDescent="0.25">
      <c r="A1356" t="s">
        <v>1019</v>
      </c>
      <c r="B1356" t="str">
        <f>"38"</f>
        <v>38</v>
      </c>
      <c r="C1356" t="str">
        <f>"38"</f>
        <v>38</v>
      </c>
    </row>
    <row r="1357" spans="1:3" x14ac:dyDescent="0.25">
      <c r="A1357" t="s">
        <v>1020</v>
      </c>
      <c r="B1357" t="str">
        <f>"38.00"</f>
        <v>38.00</v>
      </c>
      <c r="C1357" t="str">
        <f t="shared" ref="C1357:C1377" si="35">"38"</f>
        <v>38</v>
      </c>
    </row>
    <row r="1358" spans="1:3" x14ac:dyDescent="0.25">
      <c r="A1358" t="s">
        <v>1020</v>
      </c>
      <c r="B1358" t="str">
        <f>"38.0001"</f>
        <v>38.0001</v>
      </c>
      <c r="C1358" t="str">
        <f t="shared" si="35"/>
        <v>38</v>
      </c>
    </row>
    <row r="1359" spans="1:3" x14ac:dyDescent="0.25">
      <c r="A1359" t="s">
        <v>1021</v>
      </c>
      <c r="B1359" t="str">
        <f>"38.01"</f>
        <v>38.01</v>
      </c>
      <c r="C1359" t="str">
        <f t="shared" si="35"/>
        <v>38</v>
      </c>
    </row>
    <row r="1360" spans="1:3" x14ac:dyDescent="0.25">
      <c r="A1360" t="s">
        <v>1021</v>
      </c>
      <c r="B1360" t="str">
        <f>"38.0101"</f>
        <v>38.0101</v>
      </c>
      <c r="C1360" t="str">
        <f t="shared" si="35"/>
        <v>38</v>
      </c>
    </row>
    <row r="1361" spans="1:3" x14ac:dyDescent="0.25">
      <c r="A1361" t="s">
        <v>1022</v>
      </c>
      <c r="B1361" t="str">
        <f>"38.0102"</f>
        <v>38.0102</v>
      </c>
      <c r="C1361" t="str">
        <f t="shared" si="35"/>
        <v>38</v>
      </c>
    </row>
    <row r="1362" spans="1:3" x14ac:dyDescent="0.25">
      <c r="A1362" t="s">
        <v>1023</v>
      </c>
      <c r="B1362" t="str">
        <f>"38.0103"</f>
        <v>38.0103</v>
      </c>
      <c r="C1362" t="str">
        <f t="shared" si="35"/>
        <v>38</v>
      </c>
    </row>
    <row r="1363" spans="1:3" x14ac:dyDescent="0.25">
      <c r="A1363" t="s">
        <v>1024</v>
      </c>
      <c r="B1363" t="str">
        <f>"38.0104"</f>
        <v>38.0104</v>
      </c>
      <c r="C1363" t="str">
        <f t="shared" si="35"/>
        <v>38</v>
      </c>
    </row>
    <row r="1364" spans="1:3" x14ac:dyDescent="0.25">
      <c r="A1364" t="s">
        <v>1025</v>
      </c>
      <c r="B1364" t="str">
        <f>"38.0199"</f>
        <v>38.0199</v>
      </c>
      <c r="C1364" t="str">
        <f t="shared" si="35"/>
        <v>38</v>
      </c>
    </row>
    <row r="1365" spans="1:3" x14ac:dyDescent="0.25">
      <c r="A1365" t="s">
        <v>1026</v>
      </c>
      <c r="B1365" t="str">
        <f>"38.02"</f>
        <v>38.02</v>
      </c>
      <c r="C1365" t="str">
        <f t="shared" si="35"/>
        <v>38</v>
      </c>
    </row>
    <row r="1366" spans="1:3" x14ac:dyDescent="0.25">
      <c r="A1366" t="s">
        <v>1026</v>
      </c>
      <c r="B1366" t="str">
        <f>"38.0201"</f>
        <v>38.0201</v>
      </c>
      <c r="C1366" t="str">
        <f t="shared" si="35"/>
        <v>38</v>
      </c>
    </row>
    <row r="1367" spans="1:3" x14ac:dyDescent="0.25">
      <c r="A1367" t="s">
        <v>1027</v>
      </c>
      <c r="B1367" t="str">
        <f>"38.0202"</f>
        <v>38.0202</v>
      </c>
      <c r="C1367" t="str">
        <f t="shared" si="35"/>
        <v>38</v>
      </c>
    </row>
    <row r="1368" spans="1:3" x14ac:dyDescent="0.25">
      <c r="A1368" t="s">
        <v>1028</v>
      </c>
      <c r="B1368" t="str">
        <f>"38.0203"</f>
        <v>38.0203</v>
      </c>
      <c r="C1368" t="str">
        <f t="shared" si="35"/>
        <v>38</v>
      </c>
    </row>
    <row r="1369" spans="1:3" x14ac:dyDescent="0.25">
      <c r="A1369" t="s">
        <v>1029</v>
      </c>
      <c r="B1369" t="str">
        <f>"38.0204"</f>
        <v>38.0204</v>
      </c>
      <c r="C1369" t="str">
        <f t="shared" si="35"/>
        <v>38</v>
      </c>
    </row>
    <row r="1370" spans="1:3" x14ac:dyDescent="0.25">
      <c r="A1370" t="s">
        <v>1030</v>
      </c>
      <c r="B1370" t="str">
        <f>"38.0205"</f>
        <v>38.0205</v>
      </c>
      <c r="C1370" t="str">
        <f t="shared" si="35"/>
        <v>38</v>
      </c>
    </row>
    <row r="1371" spans="1:3" x14ac:dyDescent="0.25">
      <c r="A1371" t="s">
        <v>1031</v>
      </c>
      <c r="B1371" t="str">
        <f>"38.0206"</f>
        <v>38.0206</v>
      </c>
      <c r="C1371" t="str">
        <f t="shared" si="35"/>
        <v>38</v>
      </c>
    </row>
    <row r="1372" spans="1:3" x14ac:dyDescent="0.25">
      <c r="A1372" t="s">
        <v>1044</v>
      </c>
      <c r="B1372" t="str">
        <f>"38.0207"</f>
        <v>38.0207</v>
      </c>
      <c r="C1372" t="str">
        <f t="shared" si="35"/>
        <v>38</v>
      </c>
    </row>
    <row r="1373" spans="1:3" x14ac:dyDescent="0.25">
      <c r="A1373" t="s">
        <v>2032</v>
      </c>
      <c r="B1373" t="str">
        <f>"38.0208"</f>
        <v>38.0208</v>
      </c>
      <c r="C1373" t="str">
        <f t="shared" si="35"/>
        <v>38</v>
      </c>
    </row>
    <row r="1374" spans="1:3" x14ac:dyDescent="0.25">
      <c r="A1374" t="s">
        <v>2033</v>
      </c>
      <c r="B1374" t="str">
        <f>"38.0209"</f>
        <v>38.0209</v>
      </c>
      <c r="C1374" t="str">
        <f t="shared" si="35"/>
        <v>38</v>
      </c>
    </row>
    <row r="1375" spans="1:3" x14ac:dyDescent="0.25">
      <c r="A1375" t="s">
        <v>1032</v>
      </c>
      <c r="B1375" t="str">
        <f>"38.0299"</f>
        <v>38.0299</v>
      </c>
      <c r="C1375" t="str">
        <f t="shared" si="35"/>
        <v>38</v>
      </c>
    </row>
    <row r="1376" spans="1:3" x14ac:dyDescent="0.25">
      <c r="A1376" t="s">
        <v>1033</v>
      </c>
      <c r="B1376" t="str">
        <f>"38.99"</f>
        <v>38.99</v>
      </c>
      <c r="C1376" t="str">
        <f t="shared" si="35"/>
        <v>38</v>
      </c>
    </row>
    <row r="1377" spans="1:3" x14ac:dyDescent="0.25">
      <c r="A1377" t="s">
        <v>1033</v>
      </c>
      <c r="B1377" t="str">
        <f>"38.9999"</f>
        <v>38.9999</v>
      </c>
      <c r="C1377" t="str">
        <f t="shared" si="35"/>
        <v>38</v>
      </c>
    </row>
    <row r="1378" spans="1:3" x14ac:dyDescent="0.25">
      <c r="A1378" t="s">
        <v>1034</v>
      </c>
      <c r="B1378" t="str">
        <f>"39"</f>
        <v>39</v>
      </c>
      <c r="C1378" t="str">
        <f>"39"</f>
        <v>39</v>
      </c>
    </row>
    <row r="1379" spans="1:3" x14ac:dyDescent="0.25">
      <c r="A1379" t="s">
        <v>1035</v>
      </c>
      <c r="B1379" t="str">
        <f>"39.02"</f>
        <v>39.02</v>
      </c>
      <c r="C1379" t="str">
        <f t="shared" ref="C1379:C1411" si="36">"39"</f>
        <v>39</v>
      </c>
    </row>
    <row r="1380" spans="1:3" x14ac:dyDescent="0.25">
      <c r="A1380" t="s">
        <v>1035</v>
      </c>
      <c r="B1380" t="str">
        <f>"39.0201"</f>
        <v>39.0201</v>
      </c>
      <c r="C1380" t="str">
        <f t="shared" si="36"/>
        <v>39</v>
      </c>
    </row>
    <row r="1381" spans="1:3" x14ac:dyDescent="0.25">
      <c r="A1381" t="s">
        <v>1036</v>
      </c>
      <c r="B1381" t="str">
        <f>"39.03"</f>
        <v>39.03</v>
      </c>
      <c r="C1381" t="str">
        <f t="shared" si="36"/>
        <v>39</v>
      </c>
    </row>
    <row r="1382" spans="1:3" x14ac:dyDescent="0.25">
      <c r="A1382" t="s">
        <v>2034</v>
      </c>
      <c r="B1382" t="str">
        <f>"39.0301"</f>
        <v>39.0301</v>
      </c>
      <c r="C1382" t="str">
        <f t="shared" si="36"/>
        <v>39</v>
      </c>
    </row>
    <row r="1383" spans="1:3" x14ac:dyDescent="0.25">
      <c r="A1383" t="s">
        <v>2035</v>
      </c>
      <c r="B1383" t="str">
        <f>"39.0302"</f>
        <v>39.0302</v>
      </c>
      <c r="C1383" t="str">
        <f t="shared" si="36"/>
        <v>39</v>
      </c>
    </row>
    <row r="1384" spans="1:3" x14ac:dyDescent="0.25">
      <c r="A1384" t="s">
        <v>2036</v>
      </c>
      <c r="B1384" t="str">
        <f>"39.0399"</f>
        <v>39.0399</v>
      </c>
      <c r="C1384" t="str">
        <f t="shared" si="36"/>
        <v>39</v>
      </c>
    </row>
    <row r="1385" spans="1:3" x14ac:dyDescent="0.25">
      <c r="A1385" t="s">
        <v>1037</v>
      </c>
      <c r="B1385" t="str">
        <f>"39.04"</f>
        <v>39.04</v>
      </c>
      <c r="C1385" t="str">
        <f t="shared" si="36"/>
        <v>39</v>
      </c>
    </row>
    <row r="1386" spans="1:3" x14ac:dyDescent="0.25">
      <c r="A1386" t="s">
        <v>1037</v>
      </c>
      <c r="B1386" t="str">
        <f>"39.0401"</f>
        <v>39.0401</v>
      </c>
      <c r="C1386" t="str">
        <f t="shared" si="36"/>
        <v>39</v>
      </c>
    </row>
    <row r="1387" spans="1:3" x14ac:dyDescent="0.25">
      <c r="A1387" t="s">
        <v>2037</v>
      </c>
      <c r="B1387" t="str">
        <f>"39.05"</f>
        <v>39.05</v>
      </c>
      <c r="C1387" t="str">
        <f t="shared" si="36"/>
        <v>39</v>
      </c>
    </row>
    <row r="1388" spans="1:3" x14ac:dyDescent="0.25">
      <c r="A1388" t="s">
        <v>1038</v>
      </c>
      <c r="B1388" t="str">
        <f>"39.0501"</f>
        <v>39.0501</v>
      </c>
      <c r="C1388" t="str">
        <f t="shared" si="36"/>
        <v>39</v>
      </c>
    </row>
    <row r="1389" spans="1:3" x14ac:dyDescent="0.25">
      <c r="A1389" t="s">
        <v>2038</v>
      </c>
      <c r="B1389" t="str">
        <f>"39.0502"</f>
        <v>39.0502</v>
      </c>
      <c r="C1389" t="str">
        <f t="shared" si="36"/>
        <v>39</v>
      </c>
    </row>
    <row r="1390" spans="1:3" x14ac:dyDescent="0.25">
      <c r="A1390" t="s">
        <v>2039</v>
      </c>
      <c r="B1390" t="str">
        <f>"39.0599"</f>
        <v>39.0599</v>
      </c>
      <c r="C1390" t="str">
        <f t="shared" si="36"/>
        <v>39</v>
      </c>
    </row>
    <row r="1391" spans="1:3" x14ac:dyDescent="0.25">
      <c r="A1391" t="s">
        <v>1039</v>
      </c>
      <c r="B1391" t="str">
        <f>"39.06"</f>
        <v>39.06</v>
      </c>
      <c r="C1391" t="str">
        <f t="shared" si="36"/>
        <v>39</v>
      </c>
    </row>
    <row r="1392" spans="1:3" x14ac:dyDescent="0.25">
      <c r="A1392" t="s">
        <v>1040</v>
      </c>
      <c r="B1392" t="str">
        <f>"39.0601"</f>
        <v>39.0601</v>
      </c>
      <c r="C1392" t="str">
        <f t="shared" si="36"/>
        <v>39</v>
      </c>
    </row>
    <row r="1393" spans="1:3" x14ac:dyDescent="0.25">
      <c r="A1393" t="s">
        <v>1041</v>
      </c>
      <c r="B1393" t="str">
        <f>"39.0602"</f>
        <v>39.0602</v>
      </c>
      <c r="C1393" t="str">
        <f t="shared" si="36"/>
        <v>39</v>
      </c>
    </row>
    <row r="1394" spans="1:3" x14ac:dyDescent="0.25">
      <c r="A1394" t="s">
        <v>1042</v>
      </c>
      <c r="B1394" t="str">
        <f>"39.0604"</f>
        <v>39.0604</v>
      </c>
      <c r="C1394" t="str">
        <f t="shared" si="36"/>
        <v>39</v>
      </c>
    </row>
    <row r="1395" spans="1:3" x14ac:dyDescent="0.25">
      <c r="A1395" t="s">
        <v>1043</v>
      </c>
      <c r="B1395" t="str">
        <f>"39.0605"</f>
        <v>39.0605</v>
      </c>
      <c r="C1395" t="str">
        <f t="shared" si="36"/>
        <v>39</v>
      </c>
    </row>
    <row r="1396" spans="1:3" x14ac:dyDescent="0.25">
      <c r="A1396" t="s">
        <v>1044</v>
      </c>
      <c r="B1396" t="str">
        <f>"39.0606"</f>
        <v>39.0606</v>
      </c>
      <c r="C1396" t="str">
        <f t="shared" si="36"/>
        <v>39</v>
      </c>
    </row>
    <row r="1397" spans="1:3" x14ac:dyDescent="0.25">
      <c r="A1397" t="s">
        <v>1045</v>
      </c>
      <c r="B1397" t="str">
        <f>"39.0699"</f>
        <v>39.0699</v>
      </c>
      <c r="C1397" t="str">
        <f t="shared" si="36"/>
        <v>39</v>
      </c>
    </row>
    <row r="1398" spans="1:3" x14ac:dyDescent="0.25">
      <c r="A1398" t="s">
        <v>1046</v>
      </c>
      <c r="B1398" t="str">
        <f>"39.07"</f>
        <v>39.07</v>
      </c>
      <c r="C1398" t="str">
        <f t="shared" si="36"/>
        <v>39</v>
      </c>
    </row>
    <row r="1399" spans="1:3" x14ac:dyDescent="0.25">
      <c r="A1399" t="s">
        <v>1047</v>
      </c>
      <c r="B1399" t="str">
        <f>"39.0701"</f>
        <v>39.0701</v>
      </c>
      <c r="C1399" t="str">
        <f t="shared" si="36"/>
        <v>39</v>
      </c>
    </row>
    <row r="1400" spans="1:3" x14ac:dyDescent="0.25">
      <c r="A1400" t="s">
        <v>1048</v>
      </c>
      <c r="B1400" t="str">
        <f>"39.0702"</f>
        <v>39.0702</v>
      </c>
      <c r="C1400" t="str">
        <f t="shared" si="36"/>
        <v>39</v>
      </c>
    </row>
    <row r="1401" spans="1:3" x14ac:dyDescent="0.25">
      <c r="A1401" t="s">
        <v>1049</v>
      </c>
      <c r="B1401" t="str">
        <f>"39.0703"</f>
        <v>39.0703</v>
      </c>
      <c r="C1401" t="str">
        <f t="shared" si="36"/>
        <v>39</v>
      </c>
    </row>
    <row r="1402" spans="1:3" x14ac:dyDescent="0.25">
      <c r="A1402" t="s">
        <v>1050</v>
      </c>
      <c r="B1402" t="str">
        <f>"39.0704"</f>
        <v>39.0704</v>
      </c>
      <c r="C1402" t="str">
        <f t="shared" si="36"/>
        <v>39</v>
      </c>
    </row>
    <row r="1403" spans="1:3" x14ac:dyDescent="0.25">
      <c r="A1403" t="s">
        <v>1051</v>
      </c>
      <c r="B1403" t="str">
        <f>"39.0705"</f>
        <v>39.0705</v>
      </c>
      <c r="C1403" t="str">
        <f t="shared" si="36"/>
        <v>39</v>
      </c>
    </row>
    <row r="1404" spans="1:3" x14ac:dyDescent="0.25">
      <c r="A1404" t="s">
        <v>2040</v>
      </c>
      <c r="B1404" t="str">
        <f>"39.0706"</f>
        <v>39.0706</v>
      </c>
      <c r="C1404" t="str">
        <f t="shared" si="36"/>
        <v>39</v>
      </c>
    </row>
    <row r="1405" spans="1:3" x14ac:dyDescent="0.25">
      <c r="A1405" t="s">
        <v>1052</v>
      </c>
      <c r="B1405" t="str">
        <f>"39.0799"</f>
        <v>39.0799</v>
      </c>
      <c r="C1405" t="str">
        <f t="shared" si="36"/>
        <v>39</v>
      </c>
    </row>
    <row r="1406" spans="1:3" x14ac:dyDescent="0.25">
      <c r="A1406" t="s">
        <v>2041</v>
      </c>
      <c r="B1406" t="str">
        <f>"39.08"</f>
        <v>39.08</v>
      </c>
      <c r="C1406" t="str">
        <f t="shared" si="36"/>
        <v>39</v>
      </c>
    </row>
    <row r="1407" spans="1:3" x14ac:dyDescent="0.25">
      <c r="A1407" t="s">
        <v>2042</v>
      </c>
      <c r="B1407" t="str">
        <f>"39.0801"</f>
        <v>39.0801</v>
      </c>
      <c r="C1407" t="str">
        <f t="shared" si="36"/>
        <v>39</v>
      </c>
    </row>
    <row r="1408" spans="1:3" x14ac:dyDescent="0.25">
      <c r="A1408" t="s">
        <v>2043</v>
      </c>
      <c r="B1408" t="str">
        <f>"39.0802"</f>
        <v>39.0802</v>
      </c>
      <c r="C1408" t="str">
        <f t="shared" si="36"/>
        <v>39</v>
      </c>
    </row>
    <row r="1409" spans="1:3" x14ac:dyDescent="0.25">
      <c r="A1409" t="s">
        <v>2044</v>
      </c>
      <c r="B1409" t="str">
        <f>"39.0899"</f>
        <v>39.0899</v>
      </c>
      <c r="C1409" t="str">
        <f t="shared" si="36"/>
        <v>39</v>
      </c>
    </row>
    <row r="1410" spans="1:3" x14ac:dyDescent="0.25">
      <c r="A1410" t="s">
        <v>1053</v>
      </c>
      <c r="B1410" t="str">
        <f>"39.99"</f>
        <v>39.99</v>
      </c>
      <c r="C1410" t="str">
        <f t="shared" si="36"/>
        <v>39</v>
      </c>
    </row>
    <row r="1411" spans="1:3" x14ac:dyDescent="0.25">
      <c r="A1411" t="s">
        <v>1053</v>
      </c>
      <c r="B1411" t="str">
        <f>"39.9999"</f>
        <v>39.9999</v>
      </c>
      <c r="C1411" t="str">
        <f t="shared" si="36"/>
        <v>39</v>
      </c>
    </row>
    <row r="1412" spans="1:3" x14ac:dyDescent="0.25">
      <c r="A1412" t="s">
        <v>1054</v>
      </c>
      <c r="B1412" t="str">
        <f>"40"</f>
        <v>40</v>
      </c>
      <c r="C1412" t="str">
        <f>"40"</f>
        <v>40</v>
      </c>
    </row>
    <row r="1413" spans="1:3" x14ac:dyDescent="0.25">
      <c r="A1413" t="s">
        <v>2045</v>
      </c>
      <c r="B1413" t="str">
        <f>"40.01"</f>
        <v>40.01</v>
      </c>
      <c r="C1413" t="str">
        <f t="shared" ref="C1413:C1466" si="37">"40"</f>
        <v>40</v>
      </c>
    </row>
    <row r="1414" spans="1:3" x14ac:dyDescent="0.25">
      <c r="A1414" t="s">
        <v>2045</v>
      </c>
      <c r="B1414" t="str">
        <f>"40.0101"</f>
        <v>40.0101</v>
      </c>
      <c r="C1414" t="str">
        <f t="shared" si="37"/>
        <v>40</v>
      </c>
    </row>
    <row r="1415" spans="1:3" x14ac:dyDescent="0.25">
      <c r="A1415" t="s">
        <v>1055</v>
      </c>
      <c r="B1415" t="str">
        <f>"40.02"</f>
        <v>40.02</v>
      </c>
      <c r="C1415" t="str">
        <f t="shared" si="37"/>
        <v>40</v>
      </c>
    </row>
    <row r="1416" spans="1:3" x14ac:dyDescent="0.25">
      <c r="A1416" t="s">
        <v>1056</v>
      </c>
      <c r="B1416" t="str">
        <f>"40.0201"</f>
        <v>40.0201</v>
      </c>
      <c r="C1416" t="str">
        <f t="shared" si="37"/>
        <v>40</v>
      </c>
    </row>
    <row r="1417" spans="1:3" x14ac:dyDescent="0.25">
      <c r="A1417" t="s">
        <v>1057</v>
      </c>
      <c r="B1417" t="str">
        <f>"40.0202"</f>
        <v>40.0202</v>
      </c>
      <c r="C1417" t="str">
        <f t="shared" si="37"/>
        <v>40</v>
      </c>
    </row>
    <row r="1418" spans="1:3" x14ac:dyDescent="0.25">
      <c r="A1418" t="s">
        <v>1058</v>
      </c>
      <c r="B1418" t="str">
        <f>"40.0203"</f>
        <v>40.0203</v>
      </c>
      <c r="C1418" t="str">
        <f t="shared" si="37"/>
        <v>40</v>
      </c>
    </row>
    <row r="1419" spans="1:3" x14ac:dyDescent="0.25">
      <c r="A1419" t="s">
        <v>1059</v>
      </c>
      <c r="B1419" t="str">
        <f>"40.0299"</f>
        <v>40.0299</v>
      </c>
      <c r="C1419" t="str">
        <f t="shared" si="37"/>
        <v>40</v>
      </c>
    </row>
    <row r="1420" spans="1:3" x14ac:dyDescent="0.25">
      <c r="A1420" t="s">
        <v>1060</v>
      </c>
      <c r="B1420" t="str">
        <f>"40.04"</f>
        <v>40.04</v>
      </c>
      <c r="C1420" t="str">
        <f t="shared" si="37"/>
        <v>40</v>
      </c>
    </row>
    <row r="1421" spans="1:3" x14ac:dyDescent="0.25">
      <c r="A1421" t="s">
        <v>1061</v>
      </c>
      <c r="B1421" t="str">
        <f>"40.0401"</f>
        <v>40.0401</v>
      </c>
      <c r="C1421" t="str">
        <f t="shared" si="37"/>
        <v>40</v>
      </c>
    </row>
    <row r="1422" spans="1:3" x14ac:dyDescent="0.25">
      <c r="A1422" t="s">
        <v>1062</v>
      </c>
      <c r="B1422" t="str">
        <f>"40.0402"</f>
        <v>40.0402</v>
      </c>
      <c r="C1422" t="str">
        <f t="shared" si="37"/>
        <v>40</v>
      </c>
    </row>
    <row r="1423" spans="1:3" x14ac:dyDescent="0.25">
      <c r="A1423" t="s">
        <v>1063</v>
      </c>
      <c r="B1423" t="str">
        <f>"40.0403"</f>
        <v>40.0403</v>
      </c>
      <c r="C1423" t="str">
        <f t="shared" si="37"/>
        <v>40</v>
      </c>
    </row>
    <row r="1424" spans="1:3" x14ac:dyDescent="0.25">
      <c r="A1424" t="s">
        <v>1064</v>
      </c>
      <c r="B1424" t="str">
        <f>"40.0404"</f>
        <v>40.0404</v>
      </c>
      <c r="C1424" t="str">
        <f t="shared" si="37"/>
        <v>40</v>
      </c>
    </row>
    <row r="1425" spans="1:3" x14ac:dyDescent="0.25">
      <c r="A1425" t="s">
        <v>1065</v>
      </c>
      <c r="B1425" t="str">
        <f>"40.0499"</f>
        <v>40.0499</v>
      </c>
      <c r="C1425" t="str">
        <f t="shared" si="37"/>
        <v>40</v>
      </c>
    </row>
    <row r="1426" spans="1:3" x14ac:dyDescent="0.25">
      <c r="A1426" t="s">
        <v>1066</v>
      </c>
      <c r="B1426" t="str">
        <f>"40.05"</f>
        <v>40.05</v>
      </c>
      <c r="C1426" t="str">
        <f t="shared" si="37"/>
        <v>40</v>
      </c>
    </row>
    <row r="1427" spans="1:3" x14ac:dyDescent="0.25">
      <c r="A1427" t="s">
        <v>1067</v>
      </c>
      <c r="B1427" t="str">
        <f>"40.0501"</f>
        <v>40.0501</v>
      </c>
      <c r="C1427" t="str">
        <f t="shared" si="37"/>
        <v>40</v>
      </c>
    </row>
    <row r="1428" spans="1:3" x14ac:dyDescent="0.25">
      <c r="A1428" t="s">
        <v>1068</v>
      </c>
      <c r="B1428" t="str">
        <f>"40.0502"</f>
        <v>40.0502</v>
      </c>
      <c r="C1428" t="str">
        <f t="shared" si="37"/>
        <v>40</v>
      </c>
    </row>
    <row r="1429" spans="1:3" x14ac:dyDescent="0.25">
      <c r="A1429" t="s">
        <v>1069</v>
      </c>
      <c r="B1429" t="str">
        <f>"40.0503"</f>
        <v>40.0503</v>
      </c>
      <c r="C1429" t="str">
        <f t="shared" si="37"/>
        <v>40</v>
      </c>
    </row>
    <row r="1430" spans="1:3" x14ac:dyDescent="0.25">
      <c r="A1430" t="s">
        <v>1070</v>
      </c>
      <c r="B1430" t="str">
        <f>"40.0504"</f>
        <v>40.0504</v>
      </c>
      <c r="C1430" t="str">
        <f t="shared" si="37"/>
        <v>40</v>
      </c>
    </row>
    <row r="1431" spans="1:3" x14ac:dyDescent="0.25">
      <c r="A1431" t="s">
        <v>1071</v>
      </c>
      <c r="B1431" t="str">
        <f>"40.0506"</f>
        <v>40.0506</v>
      </c>
      <c r="C1431" t="str">
        <f t="shared" si="37"/>
        <v>40</v>
      </c>
    </row>
    <row r="1432" spans="1:3" x14ac:dyDescent="0.25">
      <c r="A1432" t="s">
        <v>1072</v>
      </c>
      <c r="B1432" t="str">
        <f>"40.0507"</f>
        <v>40.0507</v>
      </c>
      <c r="C1432" t="str">
        <f t="shared" si="37"/>
        <v>40</v>
      </c>
    </row>
    <row r="1433" spans="1:3" x14ac:dyDescent="0.25">
      <c r="A1433" t="s">
        <v>1073</v>
      </c>
      <c r="B1433" t="str">
        <f>"40.0508"</f>
        <v>40.0508</v>
      </c>
      <c r="C1433" t="str">
        <f t="shared" si="37"/>
        <v>40</v>
      </c>
    </row>
    <row r="1434" spans="1:3" x14ac:dyDescent="0.25">
      <c r="A1434" t="s">
        <v>1074</v>
      </c>
      <c r="B1434" t="str">
        <f>"40.0509"</f>
        <v>40.0509</v>
      </c>
      <c r="C1434" t="str">
        <f t="shared" si="37"/>
        <v>40</v>
      </c>
    </row>
    <row r="1435" spans="1:3" x14ac:dyDescent="0.25">
      <c r="A1435" t="s">
        <v>1075</v>
      </c>
      <c r="B1435" t="str">
        <f>"40.0510"</f>
        <v>40.0510</v>
      </c>
      <c r="C1435" t="str">
        <f t="shared" si="37"/>
        <v>40</v>
      </c>
    </row>
    <row r="1436" spans="1:3" x14ac:dyDescent="0.25">
      <c r="A1436" t="s">
        <v>1076</v>
      </c>
      <c r="B1436" t="str">
        <f>"40.0511"</f>
        <v>40.0511</v>
      </c>
      <c r="C1436" t="str">
        <f t="shared" si="37"/>
        <v>40</v>
      </c>
    </row>
    <row r="1437" spans="1:3" x14ac:dyDescent="0.25">
      <c r="A1437" t="s">
        <v>2046</v>
      </c>
      <c r="B1437" t="str">
        <f>"40.0512"</f>
        <v>40.0512</v>
      </c>
      <c r="C1437" t="str">
        <f t="shared" si="37"/>
        <v>40</v>
      </c>
    </row>
    <row r="1438" spans="1:3" x14ac:dyDescent="0.25">
      <c r="A1438" t="s">
        <v>1077</v>
      </c>
      <c r="B1438" t="str">
        <f>"40.0599"</f>
        <v>40.0599</v>
      </c>
      <c r="C1438" t="str">
        <f t="shared" si="37"/>
        <v>40</v>
      </c>
    </row>
    <row r="1439" spans="1:3" x14ac:dyDescent="0.25">
      <c r="A1439" t="s">
        <v>1078</v>
      </c>
      <c r="B1439" t="str">
        <f>"40.06"</f>
        <v>40.06</v>
      </c>
      <c r="C1439" t="str">
        <f t="shared" si="37"/>
        <v>40</v>
      </c>
    </row>
    <row r="1440" spans="1:3" x14ac:dyDescent="0.25">
      <c r="A1440" t="s">
        <v>1079</v>
      </c>
      <c r="B1440" t="str">
        <f>"40.0601"</f>
        <v>40.0601</v>
      </c>
      <c r="C1440" t="str">
        <f t="shared" si="37"/>
        <v>40</v>
      </c>
    </row>
    <row r="1441" spans="1:3" x14ac:dyDescent="0.25">
      <c r="A1441" t="s">
        <v>1080</v>
      </c>
      <c r="B1441" t="str">
        <f>"40.0602"</f>
        <v>40.0602</v>
      </c>
      <c r="C1441" t="str">
        <f t="shared" si="37"/>
        <v>40</v>
      </c>
    </row>
    <row r="1442" spans="1:3" x14ac:dyDescent="0.25">
      <c r="A1442" t="s">
        <v>1081</v>
      </c>
      <c r="B1442" t="str">
        <f>"40.0603"</f>
        <v>40.0603</v>
      </c>
      <c r="C1442" t="str">
        <f t="shared" si="37"/>
        <v>40</v>
      </c>
    </row>
    <row r="1443" spans="1:3" x14ac:dyDescent="0.25">
      <c r="A1443" t="s">
        <v>1082</v>
      </c>
      <c r="B1443" t="str">
        <f>"40.0604"</f>
        <v>40.0604</v>
      </c>
      <c r="C1443" t="str">
        <f t="shared" si="37"/>
        <v>40</v>
      </c>
    </row>
    <row r="1444" spans="1:3" x14ac:dyDescent="0.25">
      <c r="A1444" t="s">
        <v>1083</v>
      </c>
      <c r="B1444" t="str">
        <f>"40.0605"</f>
        <v>40.0605</v>
      </c>
      <c r="C1444" t="str">
        <f t="shared" si="37"/>
        <v>40</v>
      </c>
    </row>
    <row r="1445" spans="1:3" x14ac:dyDescent="0.25">
      <c r="A1445" t="s">
        <v>1084</v>
      </c>
      <c r="B1445" t="str">
        <f>"40.0606"</f>
        <v>40.0606</v>
      </c>
      <c r="C1445" t="str">
        <f t="shared" si="37"/>
        <v>40</v>
      </c>
    </row>
    <row r="1446" spans="1:3" x14ac:dyDescent="0.25">
      <c r="A1446" t="s">
        <v>1085</v>
      </c>
      <c r="B1446" t="str">
        <f>"40.0607"</f>
        <v>40.0607</v>
      </c>
      <c r="C1446" t="str">
        <f t="shared" si="37"/>
        <v>40</v>
      </c>
    </row>
    <row r="1447" spans="1:3" x14ac:dyDescent="0.25">
      <c r="A1447" t="s">
        <v>1086</v>
      </c>
      <c r="B1447" t="str">
        <f>"40.0699"</f>
        <v>40.0699</v>
      </c>
      <c r="C1447" t="str">
        <f t="shared" si="37"/>
        <v>40</v>
      </c>
    </row>
    <row r="1448" spans="1:3" x14ac:dyDescent="0.25">
      <c r="A1448" t="s">
        <v>1087</v>
      </c>
      <c r="B1448" t="str">
        <f>"40.08"</f>
        <v>40.08</v>
      </c>
      <c r="C1448" t="str">
        <f t="shared" si="37"/>
        <v>40</v>
      </c>
    </row>
    <row r="1449" spans="1:3" x14ac:dyDescent="0.25">
      <c r="A1449" t="s">
        <v>1088</v>
      </c>
      <c r="B1449" t="str">
        <f>"40.0801"</f>
        <v>40.0801</v>
      </c>
      <c r="C1449" t="str">
        <f t="shared" si="37"/>
        <v>40</v>
      </c>
    </row>
    <row r="1450" spans="1:3" x14ac:dyDescent="0.25">
      <c r="A1450" t="s">
        <v>1089</v>
      </c>
      <c r="B1450" t="str">
        <f>"40.0802"</f>
        <v>40.0802</v>
      </c>
      <c r="C1450" t="str">
        <f t="shared" si="37"/>
        <v>40</v>
      </c>
    </row>
    <row r="1451" spans="1:3" x14ac:dyDescent="0.25">
      <c r="A1451" t="s">
        <v>1090</v>
      </c>
      <c r="B1451" t="str">
        <f>"40.0804"</f>
        <v>40.0804</v>
      </c>
      <c r="C1451" t="str">
        <f t="shared" si="37"/>
        <v>40</v>
      </c>
    </row>
    <row r="1452" spans="1:3" x14ac:dyDescent="0.25">
      <c r="A1452" t="s">
        <v>1091</v>
      </c>
      <c r="B1452" t="str">
        <f>"40.0805"</f>
        <v>40.0805</v>
      </c>
      <c r="C1452" t="str">
        <f t="shared" si="37"/>
        <v>40</v>
      </c>
    </row>
    <row r="1453" spans="1:3" x14ac:dyDescent="0.25">
      <c r="A1453" t="s">
        <v>1092</v>
      </c>
      <c r="B1453" t="str">
        <f>"40.0806"</f>
        <v>40.0806</v>
      </c>
      <c r="C1453" t="str">
        <f t="shared" si="37"/>
        <v>40</v>
      </c>
    </row>
    <row r="1454" spans="1:3" x14ac:dyDescent="0.25">
      <c r="A1454" t="s">
        <v>1093</v>
      </c>
      <c r="B1454" t="str">
        <f>"40.0807"</f>
        <v>40.0807</v>
      </c>
      <c r="C1454" t="str">
        <f t="shared" si="37"/>
        <v>40</v>
      </c>
    </row>
    <row r="1455" spans="1:3" x14ac:dyDescent="0.25">
      <c r="A1455" t="s">
        <v>1094</v>
      </c>
      <c r="B1455" t="str">
        <f>"40.0808"</f>
        <v>40.0808</v>
      </c>
      <c r="C1455" t="str">
        <f t="shared" si="37"/>
        <v>40</v>
      </c>
    </row>
    <row r="1456" spans="1:3" x14ac:dyDescent="0.25">
      <c r="A1456" t="s">
        <v>1095</v>
      </c>
      <c r="B1456" t="str">
        <f>"40.0809"</f>
        <v>40.0809</v>
      </c>
      <c r="C1456" t="str">
        <f t="shared" si="37"/>
        <v>40</v>
      </c>
    </row>
    <row r="1457" spans="1:3" x14ac:dyDescent="0.25">
      <c r="A1457" t="s">
        <v>1096</v>
      </c>
      <c r="B1457" t="str">
        <f>"40.0810"</f>
        <v>40.0810</v>
      </c>
      <c r="C1457" t="str">
        <f t="shared" si="37"/>
        <v>40</v>
      </c>
    </row>
    <row r="1458" spans="1:3" x14ac:dyDescent="0.25">
      <c r="A1458" t="s">
        <v>1097</v>
      </c>
      <c r="B1458" t="str">
        <f>"40.0899"</f>
        <v>40.0899</v>
      </c>
      <c r="C1458" t="str">
        <f t="shared" si="37"/>
        <v>40</v>
      </c>
    </row>
    <row r="1459" spans="1:3" x14ac:dyDescent="0.25">
      <c r="A1459" t="s">
        <v>1098</v>
      </c>
      <c r="B1459" t="str">
        <f>"40.10"</f>
        <v>40.10</v>
      </c>
      <c r="C1459" t="str">
        <f t="shared" si="37"/>
        <v>40</v>
      </c>
    </row>
    <row r="1460" spans="1:3" x14ac:dyDescent="0.25">
      <c r="A1460" t="s">
        <v>481</v>
      </c>
      <c r="B1460" t="str">
        <f>"40.1001"</f>
        <v>40.1001</v>
      </c>
      <c r="C1460" t="str">
        <f t="shared" si="37"/>
        <v>40</v>
      </c>
    </row>
    <row r="1461" spans="1:3" x14ac:dyDescent="0.25">
      <c r="A1461" t="s">
        <v>1099</v>
      </c>
      <c r="B1461" t="str">
        <f>"40.1002"</f>
        <v>40.1002</v>
      </c>
      <c r="C1461" t="str">
        <f t="shared" si="37"/>
        <v>40</v>
      </c>
    </row>
    <row r="1462" spans="1:3" x14ac:dyDescent="0.25">
      <c r="A1462" t="s">
        <v>1100</v>
      </c>
      <c r="B1462" t="str">
        <f>"40.1099"</f>
        <v>40.1099</v>
      </c>
      <c r="C1462" t="str">
        <f t="shared" si="37"/>
        <v>40</v>
      </c>
    </row>
    <row r="1463" spans="1:3" x14ac:dyDescent="0.25">
      <c r="A1463" t="s">
        <v>2047</v>
      </c>
      <c r="B1463" t="str">
        <f>"40.11"</f>
        <v>40.11</v>
      </c>
      <c r="C1463" t="str">
        <f t="shared" si="37"/>
        <v>40</v>
      </c>
    </row>
    <row r="1464" spans="1:3" x14ac:dyDescent="0.25">
      <c r="A1464" t="s">
        <v>2047</v>
      </c>
      <c r="B1464" t="str">
        <f>"40.1101"</f>
        <v>40.1101</v>
      </c>
      <c r="C1464" t="str">
        <f t="shared" si="37"/>
        <v>40</v>
      </c>
    </row>
    <row r="1465" spans="1:3" x14ac:dyDescent="0.25">
      <c r="A1465" t="s">
        <v>1101</v>
      </c>
      <c r="B1465" t="str">
        <f>"40.99"</f>
        <v>40.99</v>
      </c>
      <c r="C1465" t="str">
        <f t="shared" si="37"/>
        <v>40</v>
      </c>
    </row>
    <row r="1466" spans="1:3" x14ac:dyDescent="0.25">
      <c r="A1466" t="s">
        <v>1101</v>
      </c>
      <c r="B1466" t="str">
        <f>"40.9999"</f>
        <v>40.9999</v>
      </c>
      <c r="C1466" t="str">
        <f t="shared" si="37"/>
        <v>40</v>
      </c>
    </row>
    <row r="1467" spans="1:3" x14ac:dyDescent="0.25">
      <c r="A1467" t="s">
        <v>1102</v>
      </c>
      <c r="B1467" t="str">
        <f>"41"</f>
        <v>41</v>
      </c>
      <c r="C1467" t="str">
        <f>"41"</f>
        <v>41</v>
      </c>
    </row>
    <row r="1468" spans="1:3" x14ac:dyDescent="0.25">
      <c r="A1468" t="s">
        <v>1103</v>
      </c>
      <c r="B1468" t="str">
        <f>"41.00"</f>
        <v>41.00</v>
      </c>
      <c r="C1468" t="str">
        <f t="shared" ref="C1468:C1481" si="38">"41"</f>
        <v>41</v>
      </c>
    </row>
    <row r="1469" spans="1:3" x14ac:dyDescent="0.25">
      <c r="A1469" t="s">
        <v>1103</v>
      </c>
      <c r="B1469" t="str">
        <f>"41.0000"</f>
        <v>41.0000</v>
      </c>
      <c r="C1469" t="str">
        <f t="shared" si="38"/>
        <v>41</v>
      </c>
    </row>
    <row r="1470" spans="1:3" x14ac:dyDescent="0.25">
      <c r="A1470" t="s">
        <v>2048</v>
      </c>
      <c r="B1470" t="str">
        <f>"41.01"</f>
        <v>41.01</v>
      </c>
      <c r="C1470" t="str">
        <f t="shared" si="38"/>
        <v>41</v>
      </c>
    </row>
    <row r="1471" spans="1:3" x14ac:dyDescent="0.25">
      <c r="A1471" t="s">
        <v>2049</v>
      </c>
      <c r="B1471" t="str">
        <f>"41.0101"</f>
        <v>41.0101</v>
      </c>
      <c r="C1471" t="str">
        <f t="shared" si="38"/>
        <v>41</v>
      </c>
    </row>
    <row r="1472" spans="1:3" x14ac:dyDescent="0.25">
      <c r="A1472" t="s">
        <v>1104</v>
      </c>
      <c r="B1472" t="str">
        <f>"41.02"</f>
        <v>41.02</v>
      </c>
      <c r="C1472" t="str">
        <f t="shared" si="38"/>
        <v>41</v>
      </c>
    </row>
    <row r="1473" spans="1:3" x14ac:dyDescent="0.25">
      <c r="A1473" t="s">
        <v>1105</v>
      </c>
      <c r="B1473" t="str">
        <f>"41.0204"</f>
        <v>41.0204</v>
      </c>
      <c r="C1473" t="str">
        <f t="shared" si="38"/>
        <v>41</v>
      </c>
    </row>
    <row r="1474" spans="1:3" x14ac:dyDescent="0.25">
      <c r="A1474" t="s">
        <v>1106</v>
      </c>
      <c r="B1474" t="str">
        <f>"41.0205"</f>
        <v>41.0205</v>
      </c>
      <c r="C1474" t="str">
        <f t="shared" si="38"/>
        <v>41</v>
      </c>
    </row>
    <row r="1475" spans="1:3" x14ac:dyDescent="0.25">
      <c r="A1475" t="s">
        <v>1107</v>
      </c>
      <c r="B1475" t="str">
        <f>"41.0299"</f>
        <v>41.0299</v>
      </c>
      <c r="C1475" t="str">
        <f t="shared" si="38"/>
        <v>41</v>
      </c>
    </row>
    <row r="1476" spans="1:3" x14ac:dyDescent="0.25">
      <c r="A1476" t="s">
        <v>1108</v>
      </c>
      <c r="B1476" t="str">
        <f>"41.03"</f>
        <v>41.03</v>
      </c>
      <c r="C1476" t="str">
        <f t="shared" si="38"/>
        <v>41</v>
      </c>
    </row>
    <row r="1477" spans="1:3" x14ac:dyDescent="0.25">
      <c r="A1477" t="s">
        <v>1109</v>
      </c>
      <c r="B1477" t="str">
        <f>"41.0301"</f>
        <v>41.0301</v>
      </c>
      <c r="C1477" t="str">
        <f t="shared" si="38"/>
        <v>41</v>
      </c>
    </row>
    <row r="1478" spans="1:3" x14ac:dyDescent="0.25">
      <c r="A1478" t="s">
        <v>1110</v>
      </c>
      <c r="B1478" t="str">
        <f>"41.0303"</f>
        <v>41.0303</v>
      </c>
      <c r="C1478" t="str">
        <f t="shared" si="38"/>
        <v>41</v>
      </c>
    </row>
    <row r="1479" spans="1:3" x14ac:dyDescent="0.25">
      <c r="A1479" t="s">
        <v>1111</v>
      </c>
      <c r="B1479" t="str">
        <f>"41.0399"</f>
        <v>41.0399</v>
      </c>
      <c r="C1479" t="str">
        <f t="shared" si="38"/>
        <v>41</v>
      </c>
    </row>
    <row r="1480" spans="1:3" x14ac:dyDescent="0.25">
      <c r="A1480" t="s">
        <v>1112</v>
      </c>
      <c r="B1480" t="str">
        <f>"41.99"</f>
        <v>41.99</v>
      </c>
      <c r="C1480" t="str">
        <f t="shared" si="38"/>
        <v>41</v>
      </c>
    </row>
    <row r="1481" spans="1:3" x14ac:dyDescent="0.25">
      <c r="A1481" t="s">
        <v>1112</v>
      </c>
      <c r="B1481" t="str">
        <f>"41.9999"</f>
        <v>41.9999</v>
      </c>
      <c r="C1481" t="str">
        <f t="shared" si="38"/>
        <v>41</v>
      </c>
    </row>
    <row r="1482" spans="1:3" x14ac:dyDescent="0.25">
      <c r="A1482" t="s">
        <v>1113</v>
      </c>
      <c r="B1482" t="str">
        <f>"42"</f>
        <v>42</v>
      </c>
      <c r="C1482" t="str">
        <f>"42"</f>
        <v>42</v>
      </c>
    </row>
    <row r="1483" spans="1:3" x14ac:dyDescent="0.25">
      <c r="A1483" t="s">
        <v>1114</v>
      </c>
      <c r="B1483" t="str">
        <f>"42.01"</f>
        <v>42.01</v>
      </c>
      <c r="C1483" t="str">
        <f t="shared" ref="C1483:C1517" si="39">"42"</f>
        <v>42</v>
      </c>
    </row>
    <row r="1484" spans="1:3" x14ac:dyDescent="0.25">
      <c r="A1484" t="s">
        <v>1114</v>
      </c>
      <c r="B1484" t="str">
        <f>"42.0101"</f>
        <v>42.0101</v>
      </c>
      <c r="C1484" t="str">
        <f t="shared" si="39"/>
        <v>42</v>
      </c>
    </row>
    <row r="1485" spans="1:3" x14ac:dyDescent="0.25">
      <c r="A1485" t="s">
        <v>1134</v>
      </c>
      <c r="B1485" t="str">
        <f>"42.27"</f>
        <v>42.27</v>
      </c>
      <c r="C1485" t="str">
        <f t="shared" si="39"/>
        <v>42</v>
      </c>
    </row>
    <row r="1486" spans="1:3" x14ac:dyDescent="0.25">
      <c r="A1486" t="s">
        <v>1116</v>
      </c>
      <c r="B1486" t="str">
        <f>"42.2701"</f>
        <v>42.2701</v>
      </c>
      <c r="C1486" t="str">
        <f t="shared" si="39"/>
        <v>42</v>
      </c>
    </row>
    <row r="1487" spans="1:3" x14ac:dyDescent="0.25">
      <c r="A1487" t="s">
        <v>1118</v>
      </c>
      <c r="B1487" t="str">
        <f>"42.2702"</f>
        <v>42.2702</v>
      </c>
      <c r="C1487" t="str">
        <f t="shared" si="39"/>
        <v>42</v>
      </c>
    </row>
    <row r="1488" spans="1:3" x14ac:dyDescent="0.25">
      <c r="A1488" t="s">
        <v>1120</v>
      </c>
      <c r="B1488" t="str">
        <f>"42.2703"</f>
        <v>42.2703</v>
      </c>
      <c r="C1488" t="str">
        <f t="shared" si="39"/>
        <v>42</v>
      </c>
    </row>
    <row r="1489" spans="1:3" x14ac:dyDescent="0.25">
      <c r="A1489" t="s">
        <v>1121</v>
      </c>
      <c r="B1489" t="str">
        <f>"42.2704"</f>
        <v>42.2704</v>
      </c>
      <c r="C1489" t="str">
        <f t="shared" si="39"/>
        <v>42</v>
      </c>
    </row>
    <row r="1490" spans="1:3" x14ac:dyDescent="0.25">
      <c r="A1490" t="s">
        <v>1123</v>
      </c>
      <c r="B1490" t="str">
        <f>"42.2705"</f>
        <v>42.2705</v>
      </c>
      <c r="C1490" t="str">
        <f t="shared" si="39"/>
        <v>42</v>
      </c>
    </row>
    <row r="1491" spans="1:3" x14ac:dyDescent="0.25">
      <c r="A1491" t="s">
        <v>2050</v>
      </c>
      <c r="B1491" t="str">
        <f>"42.2706"</f>
        <v>42.2706</v>
      </c>
      <c r="C1491" t="str">
        <f t="shared" si="39"/>
        <v>42</v>
      </c>
    </row>
    <row r="1492" spans="1:3" x14ac:dyDescent="0.25">
      <c r="A1492" t="s">
        <v>1124</v>
      </c>
      <c r="B1492" t="str">
        <f>"42.2707"</f>
        <v>42.2707</v>
      </c>
      <c r="C1492" t="str">
        <f t="shared" si="39"/>
        <v>42</v>
      </c>
    </row>
    <row r="1493" spans="1:3" x14ac:dyDescent="0.25">
      <c r="A1493" t="s">
        <v>1127</v>
      </c>
      <c r="B1493" t="str">
        <f>"42.2708"</f>
        <v>42.2708</v>
      </c>
      <c r="C1493" t="str">
        <f t="shared" si="39"/>
        <v>42</v>
      </c>
    </row>
    <row r="1494" spans="1:3" x14ac:dyDescent="0.25">
      <c r="A1494" t="s">
        <v>1131</v>
      </c>
      <c r="B1494" t="str">
        <f>"42.2709"</f>
        <v>42.2709</v>
      </c>
      <c r="C1494" t="str">
        <f t="shared" si="39"/>
        <v>42</v>
      </c>
    </row>
    <row r="1495" spans="1:3" x14ac:dyDescent="0.25">
      <c r="A1495" t="s">
        <v>2051</v>
      </c>
      <c r="B1495" t="str">
        <f>"42.2710"</f>
        <v>42.2710</v>
      </c>
      <c r="C1495" t="str">
        <f t="shared" si="39"/>
        <v>42</v>
      </c>
    </row>
    <row r="1496" spans="1:3" x14ac:dyDescent="0.25">
      <c r="A1496" t="s">
        <v>1135</v>
      </c>
      <c r="B1496" t="str">
        <f>"42.2799"</f>
        <v>42.2799</v>
      </c>
      <c r="C1496" t="str">
        <f t="shared" si="39"/>
        <v>42</v>
      </c>
    </row>
    <row r="1497" spans="1:3" x14ac:dyDescent="0.25">
      <c r="A1497" t="s">
        <v>1136</v>
      </c>
      <c r="B1497" t="str">
        <f>"42.28"</f>
        <v>42.28</v>
      </c>
      <c r="C1497" t="str">
        <f t="shared" si="39"/>
        <v>42</v>
      </c>
    </row>
    <row r="1498" spans="1:3" x14ac:dyDescent="0.25">
      <c r="A1498" t="s">
        <v>1115</v>
      </c>
      <c r="B1498" t="str">
        <f>"42.2801"</f>
        <v>42.2801</v>
      </c>
      <c r="C1498" t="str">
        <f t="shared" si="39"/>
        <v>42</v>
      </c>
    </row>
    <row r="1499" spans="1:3" x14ac:dyDescent="0.25">
      <c r="A1499" t="s">
        <v>1117</v>
      </c>
      <c r="B1499" t="str">
        <f>"42.2802"</f>
        <v>42.2802</v>
      </c>
      <c r="C1499" t="str">
        <f t="shared" si="39"/>
        <v>42</v>
      </c>
    </row>
    <row r="1500" spans="1:3" x14ac:dyDescent="0.25">
      <c r="A1500" t="s">
        <v>1119</v>
      </c>
      <c r="B1500" t="str">
        <f>"42.2803"</f>
        <v>42.2803</v>
      </c>
      <c r="C1500" t="str">
        <f t="shared" si="39"/>
        <v>42</v>
      </c>
    </row>
    <row r="1501" spans="1:3" x14ac:dyDescent="0.25">
      <c r="A1501" t="s">
        <v>1122</v>
      </c>
      <c r="B1501" t="str">
        <f>"42.2804"</f>
        <v>42.2804</v>
      </c>
      <c r="C1501" t="str">
        <f t="shared" si="39"/>
        <v>42</v>
      </c>
    </row>
    <row r="1502" spans="1:3" x14ac:dyDescent="0.25">
      <c r="A1502" t="s">
        <v>1125</v>
      </c>
      <c r="B1502" t="str">
        <f>"42.2805"</f>
        <v>42.2805</v>
      </c>
      <c r="C1502" t="str">
        <f t="shared" si="39"/>
        <v>42</v>
      </c>
    </row>
    <row r="1503" spans="1:3" x14ac:dyDescent="0.25">
      <c r="A1503" t="s">
        <v>1126</v>
      </c>
      <c r="B1503" t="str">
        <f>"42.2806"</f>
        <v>42.2806</v>
      </c>
      <c r="C1503" t="str">
        <f t="shared" si="39"/>
        <v>42</v>
      </c>
    </row>
    <row r="1504" spans="1:3" x14ac:dyDescent="0.25">
      <c r="A1504" t="s">
        <v>1128</v>
      </c>
      <c r="B1504" t="str">
        <f>"42.2807"</f>
        <v>42.2807</v>
      </c>
      <c r="C1504" t="str">
        <f t="shared" si="39"/>
        <v>42</v>
      </c>
    </row>
    <row r="1505" spans="1:3" x14ac:dyDescent="0.25">
      <c r="A1505" t="s">
        <v>1129</v>
      </c>
      <c r="B1505" t="str">
        <f>"42.2808"</f>
        <v>42.2808</v>
      </c>
      <c r="C1505" t="str">
        <f t="shared" si="39"/>
        <v>42</v>
      </c>
    </row>
    <row r="1506" spans="1:3" x14ac:dyDescent="0.25">
      <c r="A1506" t="s">
        <v>1130</v>
      </c>
      <c r="B1506" t="str">
        <f>"42.2809"</f>
        <v>42.2809</v>
      </c>
      <c r="C1506" t="str">
        <f t="shared" si="39"/>
        <v>42</v>
      </c>
    </row>
    <row r="1507" spans="1:3" x14ac:dyDescent="0.25">
      <c r="A1507" t="s">
        <v>1137</v>
      </c>
      <c r="B1507" t="str">
        <f>"42.2810"</f>
        <v>42.2810</v>
      </c>
      <c r="C1507" t="str">
        <f t="shared" si="39"/>
        <v>42</v>
      </c>
    </row>
    <row r="1508" spans="1:3" x14ac:dyDescent="0.25">
      <c r="A1508" t="s">
        <v>1132</v>
      </c>
      <c r="B1508" t="str">
        <f>"42.2811"</f>
        <v>42.2811</v>
      </c>
      <c r="C1508" t="str">
        <f t="shared" si="39"/>
        <v>42</v>
      </c>
    </row>
    <row r="1509" spans="1:3" x14ac:dyDescent="0.25">
      <c r="A1509" t="s">
        <v>1133</v>
      </c>
      <c r="B1509" t="str">
        <f>"42.2812"</f>
        <v>42.2812</v>
      </c>
      <c r="C1509" t="str">
        <f t="shared" si="39"/>
        <v>42</v>
      </c>
    </row>
    <row r="1510" spans="1:3" x14ac:dyDescent="0.25">
      <c r="A1510" t="s">
        <v>1138</v>
      </c>
      <c r="B1510" t="str">
        <f>"42.2813"</f>
        <v>42.2813</v>
      </c>
      <c r="C1510" t="str">
        <f t="shared" si="39"/>
        <v>42</v>
      </c>
    </row>
    <row r="1511" spans="1:3" x14ac:dyDescent="0.25">
      <c r="A1511" t="s">
        <v>1139</v>
      </c>
      <c r="B1511" t="str">
        <f>"42.2814"</f>
        <v>42.2814</v>
      </c>
      <c r="C1511" t="str">
        <f t="shared" si="39"/>
        <v>42</v>
      </c>
    </row>
    <row r="1512" spans="1:3" x14ac:dyDescent="0.25">
      <c r="A1512" t="s">
        <v>2052</v>
      </c>
      <c r="B1512" t="str">
        <f>"42.2815"</f>
        <v>42.2815</v>
      </c>
      <c r="C1512" t="str">
        <f t="shared" si="39"/>
        <v>42</v>
      </c>
    </row>
    <row r="1513" spans="1:3" x14ac:dyDescent="0.25">
      <c r="A1513" t="s">
        <v>2053</v>
      </c>
      <c r="B1513" t="str">
        <f>"42.2816"</f>
        <v>42.2816</v>
      </c>
      <c r="C1513" t="str">
        <f t="shared" si="39"/>
        <v>42</v>
      </c>
    </row>
    <row r="1514" spans="1:3" x14ac:dyDescent="0.25">
      <c r="A1514" t="s">
        <v>2054</v>
      </c>
      <c r="B1514" t="str">
        <f>"42.2817"</f>
        <v>42.2817</v>
      </c>
      <c r="C1514" t="str">
        <f t="shared" si="39"/>
        <v>42</v>
      </c>
    </row>
    <row r="1515" spans="1:3" x14ac:dyDescent="0.25">
      <c r="A1515" t="s">
        <v>1140</v>
      </c>
      <c r="B1515" t="str">
        <f>"42.2899"</f>
        <v>42.2899</v>
      </c>
      <c r="C1515" t="str">
        <f t="shared" si="39"/>
        <v>42</v>
      </c>
    </row>
    <row r="1516" spans="1:3" x14ac:dyDescent="0.25">
      <c r="A1516" t="s">
        <v>1141</v>
      </c>
      <c r="B1516" t="str">
        <f>"42.99"</f>
        <v>42.99</v>
      </c>
      <c r="C1516" t="str">
        <f t="shared" si="39"/>
        <v>42</v>
      </c>
    </row>
    <row r="1517" spans="1:3" x14ac:dyDescent="0.25">
      <c r="A1517" t="s">
        <v>1141</v>
      </c>
      <c r="B1517" t="str">
        <f>"42.9999"</f>
        <v>42.9999</v>
      </c>
      <c r="C1517" t="str">
        <f t="shared" si="39"/>
        <v>42</v>
      </c>
    </row>
    <row r="1518" spans="1:3" x14ac:dyDescent="0.25">
      <c r="A1518" t="s">
        <v>1142</v>
      </c>
      <c r="B1518" t="str">
        <f>"43"</f>
        <v>43</v>
      </c>
      <c r="C1518" t="str">
        <f>"43"</f>
        <v>43</v>
      </c>
    </row>
    <row r="1519" spans="1:3" x14ac:dyDescent="0.25">
      <c r="A1519" t="s">
        <v>1143</v>
      </c>
      <c r="B1519" t="str">
        <f>"43.01"</f>
        <v>43.01</v>
      </c>
      <c r="C1519" t="str">
        <f t="shared" ref="C1519:C1567" si="40">"43"</f>
        <v>43</v>
      </c>
    </row>
    <row r="1520" spans="1:3" x14ac:dyDescent="0.25">
      <c r="A1520" t="s">
        <v>2055</v>
      </c>
      <c r="B1520" t="str">
        <f>"43.0100"</f>
        <v>43.0100</v>
      </c>
      <c r="C1520" t="str">
        <f t="shared" si="40"/>
        <v>43</v>
      </c>
    </row>
    <row r="1521" spans="1:3" x14ac:dyDescent="0.25">
      <c r="A1521" t="s">
        <v>1144</v>
      </c>
      <c r="B1521" t="str">
        <f>"43.0102"</f>
        <v>43.0102</v>
      </c>
      <c r="C1521" t="str">
        <f t="shared" si="40"/>
        <v>43</v>
      </c>
    </row>
    <row r="1522" spans="1:3" x14ac:dyDescent="0.25">
      <c r="A1522" t="s">
        <v>1145</v>
      </c>
      <c r="B1522" t="str">
        <f>"43.0103"</f>
        <v>43.0103</v>
      </c>
      <c r="C1522" t="str">
        <f t="shared" si="40"/>
        <v>43</v>
      </c>
    </row>
    <row r="1523" spans="1:3" x14ac:dyDescent="0.25">
      <c r="A1523" t="s">
        <v>1146</v>
      </c>
      <c r="B1523" t="str">
        <f>"43.0104"</f>
        <v>43.0104</v>
      </c>
      <c r="C1523" t="str">
        <f t="shared" si="40"/>
        <v>43</v>
      </c>
    </row>
    <row r="1524" spans="1:3" x14ac:dyDescent="0.25">
      <c r="A1524" t="s">
        <v>1147</v>
      </c>
      <c r="B1524" t="str">
        <f>"43.0106"</f>
        <v>43.0106</v>
      </c>
      <c r="C1524" t="str">
        <f t="shared" si="40"/>
        <v>43</v>
      </c>
    </row>
    <row r="1525" spans="1:3" x14ac:dyDescent="0.25">
      <c r="A1525" t="s">
        <v>1148</v>
      </c>
      <c r="B1525" t="str">
        <f>"43.0107"</f>
        <v>43.0107</v>
      </c>
      <c r="C1525" t="str">
        <f t="shared" si="40"/>
        <v>43</v>
      </c>
    </row>
    <row r="1526" spans="1:3" x14ac:dyDescent="0.25">
      <c r="A1526" t="s">
        <v>1149</v>
      </c>
      <c r="B1526" t="str">
        <f>"43.0109"</f>
        <v>43.0109</v>
      </c>
      <c r="C1526" t="str">
        <f t="shared" si="40"/>
        <v>43</v>
      </c>
    </row>
    <row r="1527" spans="1:3" x14ac:dyDescent="0.25">
      <c r="A1527" t="s">
        <v>1150</v>
      </c>
      <c r="B1527" t="str">
        <f>"43.0110"</f>
        <v>43.0110</v>
      </c>
      <c r="C1527" t="str">
        <f t="shared" si="40"/>
        <v>43</v>
      </c>
    </row>
    <row r="1528" spans="1:3" x14ac:dyDescent="0.25">
      <c r="A1528" t="s">
        <v>1151</v>
      </c>
      <c r="B1528" t="str">
        <f>"43.0111"</f>
        <v>43.0111</v>
      </c>
      <c r="C1528" t="str">
        <f t="shared" si="40"/>
        <v>43</v>
      </c>
    </row>
    <row r="1529" spans="1:3" x14ac:dyDescent="0.25">
      <c r="A1529" t="s">
        <v>1152</v>
      </c>
      <c r="B1529" t="str">
        <f>"43.0112"</f>
        <v>43.0112</v>
      </c>
      <c r="C1529" t="str">
        <f t="shared" si="40"/>
        <v>43</v>
      </c>
    </row>
    <row r="1530" spans="1:3" x14ac:dyDescent="0.25">
      <c r="A1530" t="s">
        <v>1153</v>
      </c>
      <c r="B1530" t="str">
        <f>"43.0113"</f>
        <v>43.0113</v>
      </c>
      <c r="C1530" t="str">
        <f t="shared" si="40"/>
        <v>43</v>
      </c>
    </row>
    <row r="1531" spans="1:3" x14ac:dyDescent="0.25">
      <c r="A1531" t="s">
        <v>1154</v>
      </c>
      <c r="B1531" t="str">
        <f>"43.0114"</f>
        <v>43.0114</v>
      </c>
      <c r="C1531" t="str">
        <f t="shared" si="40"/>
        <v>43</v>
      </c>
    </row>
    <row r="1532" spans="1:3" x14ac:dyDescent="0.25">
      <c r="A1532" t="s">
        <v>1155</v>
      </c>
      <c r="B1532" t="str">
        <f>"43.0115"</f>
        <v>43.0115</v>
      </c>
      <c r="C1532" t="str">
        <f t="shared" si="40"/>
        <v>43</v>
      </c>
    </row>
    <row r="1533" spans="1:3" x14ac:dyDescent="0.25">
      <c r="A1533" t="s">
        <v>1156</v>
      </c>
      <c r="B1533" t="str">
        <f>"43.0116"</f>
        <v>43.0116</v>
      </c>
      <c r="C1533" t="str">
        <f t="shared" si="40"/>
        <v>43</v>
      </c>
    </row>
    <row r="1534" spans="1:3" x14ac:dyDescent="0.25">
      <c r="A1534" t="s">
        <v>1157</v>
      </c>
      <c r="B1534" t="str">
        <f>"43.0117"</f>
        <v>43.0117</v>
      </c>
      <c r="C1534" t="str">
        <f t="shared" si="40"/>
        <v>43</v>
      </c>
    </row>
    <row r="1535" spans="1:3" x14ac:dyDescent="0.25">
      <c r="A1535" t="s">
        <v>1158</v>
      </c>
      <c r="B1535" t="str">
        <f>"43.0118"</f>
        <v>43.0118</v>
      </c>
      <c r="C1535" t="str">
        <f t="shared" si="40"/>
        <v>43</v>
      </c>
    </row>
    <row r="1536" spans="1:3" x14ac:dyDescent="0.25">
      <c r="A1536" t="s">
        <v>1159</v>
      </c>
      <c r="B1536" t="str">
        <f>"43.0119"</f>
        <v>43.0119</v>
      </c>
      <c r="C1536" t="str">
        <f t="shared" si="40"/>
        <v>43</v>
      </c>
    </row>
    <row r="1537" spans="1:3" x14ac:dyDescent="0.25">
      <c r="A1537" t="s">
        <v>1160</v>
      </c>
      <c r="B1537" t="str">
        <f>"43.0120"</f>
        <v>43.0120</v>
      </c>
      <c r="C1537" t="str">
        <f t="shared" si="40"/>
        <v>43</v>
      </c>
    </row>
    <row r="1538" spans="1:3" x14ac:dyDescent="0.25">
      <c r="A1538" t="s">
        <v>1161</v>
      </c>
      <c r="B1538" t="str">
        <f>"43.0121"</f>
        <v>43.0121</v>
      </c>
      <c r="C1538" t="str">
        <f t="shared" si="40"/>
        <v>43</v>
      </c>
    </row>
    <row r="1539" spans="1:3" x14ac:dyDescent="0.25">
      <c r="A1539" t="s">
        <v>1162</v>
      </c>
      <c r="B1539" t="str">
        <f>"43.0122"</f>
        <v>43.0122</v>
      </c>
      <c r="C1539" t="str">
        <f t="shared" si="40"/>
        <v>43</v>
      </c>
    </row>
    <row r="1540" spans="1:3" x14ac:dyDescent="0.25">
      <c r="A1540" t="s">
        <v>1163</v>
      </c>
      <c r="B1540" t="str">
        <f>"43.0123"</f>
        <v>43.0123</v>
      </c>
      <c r="C1540" t="str">
        <f t="shared" si="40"/>
        <v>43</v>
      </c>
    </row>
    <row r="1541" spans="1:3" x14ac:dyDescent="0.25">
      <c r="A1541" t="s">
        <v>1164</v>
      </c>
      <c r="B1541" t="str">
        <f>"43.0199"</f>
        <v>43.0199</v>
      </c>
      <c r="C1541" t="str">
        <f t="shared" si="40"/>
        <v>43</v>
      </c>
    </row>
    <row r="1542" spans="1:3" x14ac:dyDescent="0.25">
      <c r="A1542" t="s">
        <v>1165</v>
      </c>
      <c r="B1542" t="str">
        <f>"43.02"</f>
        <v>43.02</v>
      </c>
      <c r="C1542" t="str">
        <f t="shared" si="40"/>
        <v>43</v>
      </c>
    </row>
    <row r="1543" spans="1:3" x14ac:dyDescent="0.25">
      <c r="A1543" t="s">
        <v>1166</v>
      </c>
      <c r="B1543" t="str">
        <f>"43.0201"</f>
        <v>43.0201</v>
      </c>
      <c r="C1543" t="str">
        <f t="shared" si="40"/>
        <v>43</v>
      </c>
    </row>
    <row r="1544" spans="1:3" x14ac:dyDescent="0.25">
      <c r="A1544" t="s">
        <v>1167</v>
      </c>
      <c r="B1544" t="str">
        <f>"43.0202"</f>
        <v>43.0202</v>
      </c>
      <c r="C1544" t="str">
        <f t="shared" si="40"/>
        <v>43</v>
      </c>
    </row>
    <row r="1545" spans="1:3" x14ac:dyDescent="0.25">
      <c r="A1545" t="s">
        <v>1168</v>
      </c>
      <c r="B1545" t="str">
        <f>"43.0203"</f>
        <v>43.0203</v>
      </c>
      <c r="C1545" t="str">
        <f t="shared" si="40"/>
        <v>43</v>
      </c>
    </row>
    <row r="1546" spans="1:3" x14ac:dyDescent="0.25">
      <c r="A1546" t="s">
        <v>1169</v>
      </c>
      <c r="B1546" t="str">
        <f>"43.0204"</f>
        <v>43.0204</v>
      </c>
      <c r="C1546" t="str">
        <f t="shared" si="40"/>
        <v>43</v>
      </c>
    </row>
    <row r="1547" spans="1:3" x14ac:dyDescent="0.25">
      <c r="A1547" t="s">
        <v>1170</v>
      </c>
      <c r="B1547" t="str">
        <f>"43.0205"</f>
        <v>43.0205</v>
      </c>
      <c r="C1547" t="str">
        <f t="shared" si="40"/>
        <v>43</v>
      </c>
    </row>
    <row r="1548" spans="1:3" x14ac:dyDescent="0.25">
      <c r="A1548" t="s">
        <v>1171</v>
      </c>
      <c r="B1548" t="str">
        <f>"43.0206"</f>
        <v>43.0206</v>
      </c>
      <c r="C1548" t="str">
        <f t="shared" si="40"/>
        <v>43</v>
      </c>
    </row>
    <row r="1549" spans="1:3" x14ac:dyDescent="0.25">
      <c r="A1549" t="s">
        <v>1172</v>
      </c>
      <c r="B1549" t="str">
        <f>"43.0299"</f>
        <v>43.0299</v>
      </c>
      <c r="C1549" t="str">
        <f t="shared" si="40"/>
        <v>43</v>
      </c>
    </row>
    <row r="1550" spans="1:3" x14ac:dyDescent="0.25">
      <c r="A1550" t="s">
        <v>1173</v>
      </c>
      <c r="B1550" t="str">
        <f>"43.03"</f>
        <v>43.03</v>
      </c>
      <c r="C1550" t="str">
        <f t="shared" si="40"/>
        <v>43</v>
      </c>
    </row>
    <row r="1551" spans="1:3" x14ac:dyDescent="0.25">
      <c r="A1551" t="s">
        <v>1173</v>
      </c>
      <c r="B1551" t="str">
        <f>"43.0301"</f>
        <v>43.0301</v>
      </c>
      <c r="C1551" t="str">
        <f t="shared" si="40"/>
        <v>43</v>
      </c>
    </row>
    <row r="1552" spans="1:3" x14ac:dyDescent="0.25">
      <c r="A1552" t="s">
        <v>1174</v>
      </c>
      <c r="B1552" t="str">
        <f>"43.0302"</f>
        <v>43.0302</v>
      </c>
      <c r="C1552" t="str">
        <f t="shared" si="40"/>
        <v>43</v>
      </c>
    </row>
    <row r="1553" spans="1:3" x14ac:dyDescent="0.25">
      <c r="A1553" t="s">
        <v>1175</v>
      </c>
      <c r="B1553" t="str">
        <f>"43.0303"</f>
        <v>43.0303</v>
      </c>
      <c r="C1553" t="str">
        <f t="shared" si="40"/>
        <v>43</v>
      </c>
    </row>
    <row r="1554" spans="1:3" x14ac:dyDescent="0.25">
      <c r="A1554" t="s">
        <v>1176</v>
      </c>
      <c r="B1554" t="str">
        <f>"43.0304"</f>
        <v>43.0304</v>
      </c>
      <c r="C1554" t="str">
        <f t="shared" si="40"/>
        <v>43</v>
      </c>
    </row>
    <row r="1555" spans="1:3" x14ac:dyDescent="0.25">
      <c r="A1555" t="s">
        <v>1177</v>
      </c>
      <c r="B1555" t="str">
        <f>"43.0399"</f>
        <v>43.0399</v>
      </c>
      <c r="C1555" t="str">
        <f t="shared" si="40"/>
        <v>43</v>
      </c>
    </row>
    <row r="1556" spans="1:3" x14ac:dyDescent="0.25">
      <c r="A1556" t="s">
        <v>2056</v>
      </c>
      <c r="B1556" t="str">
        <f>"43.04"</f>
        <v>43.04</v>
      </c>
      <c r="C1556" t="str">
        <f t="shared" si="40"/>
        <v>43</v>
      </c>
    </row>
    <row r="1557" spans="1:3" x14ac:dyDescent="0.25">
      <c r="A1557" t="s">
        <v>2057</v>
      </c>
      <c r="B1557" t="str">
        <f>"43.0401"</f>
        <v>43.0401</v>
      </c>
      <c r="C1557" t="str">
        <f t="shared" si="40"/>
        <v>43</v>
      </c>
    </row>
    <row r="1558" spans="1:3" x14ac:dyDescent="0.25">
      <c r="A1558" t="s">
        <v>1151</v>
      </c>
      <c r="B1558" t="str">
        <f>"43.0402"</f>
        <v>43.0402</v>
      </c>
      <c r="C1558" t="str">
        <f t="shared" si="40"/>
        <v>43</v>
      </c>
    </row>
    <row r="1559" spans="1:3" x14ac:dyDescent="0.25">
      <c r="A1559" t="s">
        <v>1156</v>
      </c>
      <c r="B1559" t="str">
        <f>"43.0403"</f>
        <v>43.0403</v>
      </c>
      <c r="C1559" t="str">
        <f t="shared" si="40"/>
        <v>43</v>
      </c>
    </row>
    <row r="1560" spans="1:3" x14ac:dyDescent="0.25">
      <c r="A1560" t="s">
        <v>2058</v>
      </c>
      <c r="B1560" t="str">
        <f>"43.0404"</f>
        <v>43.0404</v>
      </c>
      <c r="C1560" t="str">
        <f t="shared" si="40"/>
        <v>43</v>
      </c>
    </row>
    <row r="1561" spans="1:3" x14ac:dyDescent="0.25">
      <c r="A1561" t="s">
        <v>1157</v>
      </c>
      <c r="B1561" t="str">
        <f>"43.0405"</f>
        <v>43.0405</v>
      </c>
      <c r="C1561" t="str">
        <f t="shared" si="40"/>
        <v>43</v>
      </c>
    </row>
    <row r="1562" spans="1:3" x14ac:dyDescent="0.25">
      <c r="A1562" t="s">
        <v>1147</v>
      </c>
      <c r="B1562" t="str">
        <f>"43.0406"</f>
        <v>43.0406</v>
      </c>
      <c r="C1562" t="str">
        <f t="shared" si="40"/>
        <v>43</v>
      </c>
    </row>
    <row r="1563" spans="1:3" x14ac:dyDescent="0.25">
      <c r="A1563" t="s">
        <v>2059</v>
      </c>
      <c r="B1563" t="str">
        <f>"43.0407"</f>
        <v>43.0407</v>
      </c>
      <c r="C1563" t="str">
        <f t="shared" si="40"/>
        <v>43</v>
      </c>
    </row>
    <row r="1564" spans="1:3" x14ac:dyDescent="0.25">
      <c r="A1564" t="s">
        <v>1158</v>
      </c>
      <c r="B1564" t="str">
        <f>"43.0408"</f>
        <v>43.0408</v>
      </c>
      <c r="C1564" t="str">
        <f t="shared" si="40"/>
        <v>43</v>
      </c>
    </row>
    <row r="1565" spans="1:3" x14ac:dyDescent="0.25">
      <c r="A1565" t="s">
        <v>2060</v>
      </c>
      <c r="B1565" t="str">
        <f>"43.0499"</f>
        <v>43.0499</v>
      </c>
      <c r="C1565" t="str">
        <f t="shared" si="40"/>
        <v>43</v>
      </c>
    </row>
    <row r="1566" spans="1:3" x14ac:dyDescent="0.25">
      <c r="A1566" t="s">
        <v>1178</v>
      </c>
      <c r="B1566" t="str">
        <f>"43.99"</f>
        <v>43.99</v>
      </c>
      <c r="C1566" t="str">
        <f t="shared" si="40"/>
        <v>43</v>
      </c>
    </row>
    <row r="1567" spans="1:3" x14ac:dyDescent="0.25">
      <c r="A1567" t="s">
        <v>1178</v>
      </c>
      <c r="B1567" t="str">
        <f>"43.9999"</f>
        <v>43.9999</v>
      </c>
      <c r="C1567" t="str">
        <f t="shared" si="40"/>
        <v>43</v>
      </c>
    </row>
    <row r="1568" spans="1:3" x14ac:dyDescent="0.25">
      <c r="A1568" t="s">
        <v>1179</v>
      </c>
      <c r="B1568" t="str">
        <f>"44"</f>
        <v>44</v>
      </c>
      <c r="C1568" t="str">
        <f>"44"</f>
        <v>44</v>
      </c>
    </row>
    <row r="1569" spans="1:3" x14ac:dyDescent="0.25">
      <c r="A1569" t="s">
        <v>1180</v>
      </c>
      <c r="B1569" t="str">
        <f>"44.00"</f>
        <v>44.00</v>
      </c>
      <c r="C1569" t="str">
        <f t="shared" ref="C1569:C1591" si="41">"44"</f>
        <v>44</v>
      </c>
    </row>
    <row r="1570" spans="1:3" x14ac:dyDescent="0.25">
      <c r="A1570" t="s">
        <v>1180</v>
      </c>
      <c r="B1570" t="str">
        <f>"44.0000"</f>
        <v>44.0000</v>
      </c>
      <c r="C1570" t="str">
        <f t="shared" si="41"/>
        <v>44</v>
      </c>
    </row>
    <row r="1571" spans="1:3" x14ac:dyDescent="0.25">
      <c r="A1571" t="s">
        <v>1181</v>
      </c>
      <c r="B1571" t="str">
        <f>"44.02"</f>
        <v>44.02</v>
      </c>
      <c r="C1571" t="str">
        <f t="shared" si="41"/>
        <v>44</v>
      </c>
    </row>
    <row r="1572" spans="1:3" x14ac:dyDescent="0.25">
      <c r="A1572" t="s">
        <v>1181</v>
      </c>
      <c r="B1572" t="str">
        <f>"44.0201"</f>
        <v>44.0201</v>
      </c>
      <c r="C1572" t="str">
        <f t="shared" si="41"/>
        <v>44</v>
      </c>
    </row>
    <row r="1573" spans="1:3" x14ac:dyDescent="0.25">
      <c r="A1573" t="s">
        <v>1182</v>
      </c>
      <c r="B1573" t="str">
        <f>"44.04"</f>
        <v>44.04</v>
      </c>
      <c r="C1573" t="str">
        <f t="shared" si="41"/>
        <v>44</v>
      </c>
    </row>
    <row r="1574" spans="1:3" x14ac:dyDescent="0.25">
      <c r="A1574" t="s">
        <v>1182</v>
      </c>
      <c r="B1574" t="str">
        <f>"44.0401"</f>
        <v>44.0401</v>
      </c>
      <c r="C1574" t="str">
        <f t="shared" si="41"/>
        <v>44</v>
      </c>
    </row>
    <row r="1575" spans="1:3" x14ac:dyDescent="0.25">
      <c r="A1575" t="s">
        <v>2061</v>
      </c>
      <c r="B1575" t="str">
        <f>"44.0402"</f>
        <v>44.0402</v>
      </c>
      <c r="C1575" t="str">
        <f t="shared" si="41"/>
        <v>44</v>
      </c>
    </row>
    <row r="1576" spans="1:3" x14ac:dyDescent="0.25">
      <c r="A1576" t="s">
        <v>2062</v>
      </c>
      <c r="B1576" t="str">
        <f>"44.0403"</f>
        <v>44.0403</v>
      </c>
      <c r="C1576" t="str">
        <f t="shared" si="41"/>
        <v>44</v>
      </c>
    </row>
    <row r="1577" spans="1:3" x14ac:dyDescent="0.25">
      <c r="A1577" t="s">
        <v>2063</v>
      </c>
      <c r="B1577" t="str">
        <f>"44.0499"</f>
        <v>44.0499</v>
      </c>
      <c r="C1577" t="str">
        <f t="shared" si="41"/>
        <v>44</v>
      </c>
    </row>
    <row r="1578" spans="1:3" x14ac:dyDescent="0.25">
      <c r="A1578" t="s">
        <v>1183</v>
      </c>
      <c r="B1578" t="str">
        <f>"44.05"</f>
        <v>44.05</v>
      </c>
      <c r="C1578" t="str">
        <f t="shared" si="41"/>
        <v>44</v>
      </c>
    </row>
    <row r="1579" spans="1:3" x14ac:dyDescent="0.25">
      <c r="A1579" t="s">
        <v>1184</v>
      </c>
      <c r="B1579" t="str">
        <f>"44.0501"</f>
        <v>44.0501</v>
      </c>
      <c r="C1579" t="str">
        <f t="shared" si="41"/>
        <v>44</v>
      </c>
    </row>
    <row r="1580" spans="1:3" x14ac:dyDescent="0.25">
      <c r="A1580" t="s">
        <v>1185</v>
      </c>
      <c r="B1580" t="str">
        <f>"44.0502"</f>
        <v>44.0502</v>
      </c>
      <c r="C1580" t="str">
        <f t="shared" si="41"/>
        <v>44</v>
      </c>
    </row>
    <row r="1581" spans="1:3" x14ac:dyDescent="0.25">
      <c r="A1581" t="s">
        <v>1186</v>
      </c>
      <c r="B1581" t="str">
        <f>"44.0503"</f>
        <v>44.0503</v>
      </c>
      <c r="C1581" t="str">
        <f t="shared" si="41"/>
        <v>44</v>
      </c>
    </row>
    <row r="1582" spans="1:3" x14ac:dyDescent="0.25">
      <c r="A1582" t="s">
        <v>1187</v>
      </c>
      <c r="B1582" t="str">
        <f>"44.0504"</f>
        <v>44.0504</v>
      </c>
      <c r="C1582" t="str">
        <f t="shared" si="41"/>
        <v>44</v>
      </c>
    </row>
    <row r="1583" spans="1:3" x14ac:dyDescent="0.25">
      <c r="A1583" t="s">
        <v>1793</v>
      </c>
      <c r="B1583" t="str">
        <f>"44.0580"</f>
        <v>44.0580</v>
      </c>
      <c r="C1583" t="str">
        <f t="shared" si="41"/>
        <v>44</v>
      </c>
    </row>
    <row r="1584" spans="1:3" x14ac:dyDescent="0.25">
      <c r="A1584" t="s">
        <v>1188</v>
      </c>
      <c r="B1584" t="str">
        <f>"44.0599"</f>
        <v>44.0599</v>
      </c>
      <c r="C1584" t="str">
        <f t="shared" si="41"/>
        <v>44</v>
      </c>
    </row>
    <row r="1585" spans="1:3" x14ac:dyDescent="0.25">
      <c r="A1585" t="s">
        <v>1189</v>
      </c>
      <c r="B1585" t="str">
        <f>"44.07"</f>
        <v>44.07</v>
      </c>
      <c r="C1585" t="str">
        <f t="shared" si="41"/>
        <v>44</v>
      </c>
    </row>
    <row r="1586" spans="1:3" x14ac:dyDescent="0.25">
      <c r="A1586" t="s">
        <v>1189</v>
      </c>
      <c r="B1586" t="str">
        <f>"44.0701"</f>
        <v>44.0701</v>
      </c>
      <c r="C1586" t="str">
        <f t="shared" si="41"/>
        <v>44</v>
      </c>
    </row>
    <row r="1587" spans="1:3" x14ac:dyDescent="0.25">
      <c r="A1587" t="s">
        <v>1190</v>
      </c>
      <c r="B1587" t="str">
        <f>"44.0702"</f>
        <v>44.0702</v>
      </c>
      <c r="C1587" t="str">
        <f t="shared" si="41"/>
        <v>44</v>
      </c>
    </row>
    <row r="1588" spans="1:3" x14ac:dyDescent="0.25">
      <c r="A1588" t="s">
        <v>2064</v>
      </c>
      <c r="B1588" t="str">
        <f>"44.0703"</f>
        <v>44.0703</v>
      </c>
      <c r="C1588" t="str">
        <f t="shared" si="41"/>
        <v>44</v>
      </c>
    </row>
    <row r="1589" spans="1:3" x14ac:dyDescent="0.25">
      <c r="A1589" t="s">
        <v>1191</v>
      </c>
      <c r="B1589" t="str">
        <f>"44.0799"</f>
        <v>44.0799</v>
      </c>
      <c r="C1589" t="str">
        <f t="shared" si="41"/>
        <v>44</v>
      </c>
    </row>
    <row r="1590" spans="1:3" x14ac:dyDescent="0.25">
      <c r="A1590" t="s">
        <v>1192</v>
      </c>
      <c r="B1590" t="str">
        <f>"44.99"</f>
        <v>44.99</v>
      </c>
      <c r="C1590" t="str">
        <f t="shared" si="41"/>
        <v>44</v>
      </c>
    </row>
    <row r="1591" spans="1:3" x14ac:dyDescent="0.25">
      <c r="A1591" t="s">
        <v>1192</v>
      </c>
      <c r="B1591" t="str">
        <f>"44.9999"</f>
        <v>44.9999</v>
      </c>
      <c r="C1591" t="str">
        <f t="shared" si="41"/>
        <v>44</v>
      </c>
    </row>
    <row r="1592" spans="1:3" x14ac:dyDescent="0.25">
      <c r="A1592" t="s">
        <v>1193</v>
      </c>
      <c r="B1592" t="str">
        <f>"45"</f>
        <v>45</v>
      </c>
      <c r="C1592" t="str">
        <f>"45"</f>
        <v>45</v>
      </c>
    </row>
    <row r="1593" spans="1:3" x14ac:dyDescent="0.25">
      <c r="A1593" t="s">
        <v>1194</v>
      </c>
      <c r="B1593" t="str">
        <f>"45.01"</f>
        <v>45.01</v>
      </c>
      <c r="C1593" t="str">
        <f t="shared" ref="C1593:C1648" si="42">"45"</f>
        <v>45</v>
      </c>
    </row>
    <row r="1594" spans="1:3" x14ac:dyDescent="0.25">
      <c r="A1594" t="s">
        <v>1194</v>
      </c>
      <c r="B1594" t="str">
        <f>"45.0101"</f>
        <v>45.0101</v>
      </c>
      <c r="C1594" t="str">
        <f t="shared" si="42"/>
        <v>45</v>
      </c>
    </row>
    <row r="1595" spans="1:3" x14ac:dyDescent="0.25">
      <c r="A1595" t="s">
        <v>1195</v>
      </c>
      <c r="B1595" t="str">
        <f>"45.0102"</f>
        <v>45.0102</v>
      </c>
      <c r="C1595" t="str">
        <f t="shared" si="42"/>
        <v>45</v>
      </c>
    </row>
    <row r="1596" spans="1:3" x14ac:dyDescent="0.25">
      <c r="A1596" t="s">
        <v>2065</v>
      </c>
      <c r="B1596" t="str">
        <f>"45.0103"</f>
        <v>45.0103</v>
      </c>
      <c r="C1596" t="str">
        <f t="shared" si="42"/>
        <v>45</v>
      </c>
    </row>
    <row r="1597" spans="1:3" x14ac:dyDescent="0.25">
      <c r="A1597" t="s">
        <v>1229</v>
      </c>
      <c r="B1597" t="str">
        <f>"45.0199"</f>
        <v>45.0199</v>
      </c>
      <c r="C1597" t="str">
        <f t="shared" si="42"/>
        <v>45</v>
      </c>
    </row>
    <row r="1598" spans="1:3" x14ac:dyDescent="0.25">
      <c r="A1598" t="s">
        <v>1196</v>
      </c>
      <c r="B1598" t="str">
        <f>"45.02"</f>
        <v>45.02</v>
      </c>
      <c r="C1598" t="str">
        <f t="shared" si="42"/>
        <v>45</v>
      </c>
    </row>
    <row r="1599" spans="1:3" x14ac:dyDescent="0.25">
      <c r="A1599" t="s">
        <v>2066</v>
      </c>
      <c r="B1599" t="str">
        <f>"45.0201"</f>
        <v>45.0201</v>
      </c>
      <c r="C1599" t="str">
        <f t="shared" si="42"/>
        <v>45</v>
      </c>
    </row>
    <row r="1600" spans="1:3" x14ac:dyDescent="0.25">
      <c r="A1600" t="s">
        <v>1197</v>
      </c>
      <c r="B1600" t="str">
        <f>"45.0202"</f>
        <v>45.0202</v>
      </c>
      <c r="C1600" t="str">
        <f t="shared" si="42"/>
        <v>45</v>
      </c>
    </row>
    <row r="1601" spans="1:3" x14ac:dyDescent="0.25">
      <c r="A1601" t="s">
        <v>1198</v>
      </c>
      <c r="B1601" t="str">
        <f>"45.0203"</f>
        <v>45.0203</v>
      </c>
      <c r="C1601" t="str">
        <f t="shared" si="42"/>
        <v>45</v>
      </c>
    </row>
    <row r="1602" spans="1:3" x14ac:dyDescent="0.25">
      <c r="A1602" t="s">
        <v>1199</v>
      </c>
      <c r="B1602" t="str">
        <f>"45.0204"</f>
        <v>45.0204</v>
      </c>
      <c r="C1602" t="str">
        <f t="shared" si="42"/>
        <v>45</v>
      </c>
    </row>
    <row r="1603" spans="1:3" x14ac:dyDescent="0.25">
      <c r="A1603" t="s">
        <v>2067</v>
      </c>
      <c r="B1603" t="str">
        <f>"45.0205"</f>
        <v>45.0205</v>
      </c>
      <c r="C1603" t="str">
        <f t="shared" si="42"/>
        <v>45</v>
      </c>
    </row>
    <row r="1604" spans="1:3" x14ac:dyDescent="0.25">
      <c r="A1604" t="s">
        <v>1200</v>
      </c>
      <c r="B1604" t="str">
        <f>"45.0299"</f>
        <v>45.0299</v>
      </c>
      <c r="C1604" t="str">
        <f t="shared" si="42"/>
        <v>45</v>
      </c>
    </row>
    <row r="1605" spans="1:3" x14ac:dyDescent="0.25">
      <c r="A1605" t="s">
        <v>1201</v>
      </c>
      <c r="B1605" t="str">
        <f>"45.03"</f>
        <v>45.03</v>
      </c>
      <c r="C1605" t="str">
        <f t="shared" si="42"/>
        <v>45</v>
      </c>
    </row>
    <row r="1606" spans="1:3" x14ac:dyDescent="0.25">
      <c r="A1606" t="s">
        <v>1201</v>
      </c>
      <c r="B1606" t="str">
        <f>"45.0301"</f>
        <v>45.0301</v>
      </c>
      <c r="C1606" t="str">
        <f t="shared" si="42"/>
        <v>45</v>
      </c>
    </row>
    <row r="1607" spans="1:3" x14ac:dyDescent="0.25">
      <c r="A1607" t="s">
        <v>1202</v>
      </c>
      <c r="B1607" t="str">
        <f>"45.04"</f>
        <v>45.04</v>
      </c>
      <c r="C1607" t="str">
        <f t="shared" si="42"/>
        <v>45</v>
      </c>
    </row>
    <row r="1608" spans="1:3" x14ac:dyDescent="0.25">
      <c r="A1608" t="s">
        <v>1202</v>
      </c>
      <c r="B1608" t="str">
        <f>"45.0401"</f>
        <v>45.0401</v>
      </c>
      <c r="C1608" t="str">
        <f t="shared" si="42"/>
        <v>45</v>
      </c>
    </row>
    <row r="1609" spans="1:3" x14ac:dyDescent="0.25">
      <c r="A1609" t="s">
        <v>2068</v>
      </c>
      <c r="B1609" t="str">
        <f>"45.05"</f>
        <v>45.05</v>
      </c>
      <c r="C1609" t="str">
        <f t="shared" si="42"/>
        <v>45</v>
      </c>
    </row>
    <row r="1610" spans="1:3" x14ac:dyDescent="0.25">
      <c r="A1610" t="s">
        <v>1203</v>
      </c>
      <c r="B1610" t="str">
        <f>"45.0501"</f>
        <v>45.0501</v>
      </c>
      <c r="C1610" t="str">
        <f t="shared" si="42"/>
        <v>45</v>
      </c>
    </row>
    <row r="1611" spans="1:3" x14ac:dyDescent="0.25">
      <c r="A1611" t="s">
        <v>2069</v>
      </c>
      <c r="B1611" t="str">
        <f>"45.0502"</f>
        <v>45.0502</v>
      </c>
      <c r="C1611" t="str">
        <f t="shared" si="42"/>
        <v>45</v>
      </c>
    </row>
    <row r="1612" spans="1:3" x14ac:dyDescent="0.25">
      <c r="A1612" t="s">
        <v>2070</v>
      </c>
      <c r="B1612" t="str">
        <f>"45.0599"</f>
        <v>45.0599</v>
      </c>
      <c r="C1612" t="str">
        <f t="shared" si="42"/>
        <v>45</v>
      </c>
    </row>
    <row r="1613" spans="1:3" x14ac:dyDescent="0.25">
      <c r="A1613" t="s">
        <v>1204</v>
      </c>
      <c r="B1613" t="str">
        <f>"45.06"</f>
        <v>45.06</v>
      </c>
      <c r="C1613" t="str">
        <f t="shared" si="42"/>
        <v>45</v>
      </c>
    </row>
    <row r="1614" spans="1:3" x14ac:dyDescent="0.25">
      <c r="A1614" t="s">
        <v>1205</v>
      </c>
      <c r="B1614" t="str">
        <f>"45.0601"</f>
        <v>45.0601</v>
      </c>
      <c r="C1614" t="str">
        <f t="shared" si="42"/>
        <v>45</v>
      </c>
    </row>
    <row r="1615" spans="1:3" x14ac:dyDescent="0.25">
      <c r="A1615" t="s">
        <v>1206</v>
      </c>
      <c r="B1615" t="str">
        <f>"45.0602"</f>
        <v>45.0602</v>
      </c>
      <c r="C1615" t="str">
        <f t="shared" si="42"/>
        <v>45</v>
      </c>
    </row>
    <row r="1616" spans="1:3" x14ac:dyDescent="0.25">
      <c r="A1616" t="s">
        <v>1207</v>
      </c>
      <c r="B1616" t="str">
        <f>"45.0603"</f>
        <v>45.0603</v>
      </c>
      <c r="C1616" t="str">
        <f t="shared" si="42"/>
        <v>45</v>
      </c>
    </row>
    <row r="1617" spans="1:3" x14ac:dyDescent="0.25">
      <c r="A1617" t="s">
        <v>1208</v>
      </c>
      <c r="B1617" t="str">
        <f>"45.0604"</f>
        <v>45.0604</v>
      </c>
      <c r="C1617" t="str">
        <f t="shared" si="42"/>
        <v>45</v>
      </c>
    </row>
    <row r="1618" spans="1:3" x14ac:dyDescent="0.25">
      <c r="A1618" t="s">
        <v>1209</v>
      </c>
      <c r="B1618" t="str">
        <f>"45.0605"</f>
        <v>45.0605</v>
      </c>
      <c r="C1618" t="str">
        <f t="shared" si="42"/>
        <v>45</v>
      </c>
    </row>
    <row r="1619" spans="1:3" x14ac:dyDescent="0.25">
      <c r="A1619" t="s">
        <v>1210</v>
      </c>
      <c r="B1619" t="str">
        <f>"45.0699"</f>
        <v>45.0699</v>
      </c>
      <c r="C1619" t="str">
        <f t="shared" si="42"/>
        <v>45</v>
      </c>
    </row>
    <row r="1620" spans="1:3" x14ac:dyDescent="0.25">
      <c r="A1620" t="s">
        <v>1211</v>
      </c>
      <c r="B1620" t="str">
        <f>"45.07"</f>
        <v>45.07</v>
      </c>
      <c r="C1620" t="str">
        <f t="shared" si="42"/>
        <v>45</v>
      </c>
    </row>
    <row r="1621" spans="1:3" x14ac:dyDescent="0.25">
      <c r="A1621" t="s">
        <v>1212</v>
      </c>
      <c r="B1621" t="str">
        <f>"45.0701"</f>
        <v>45.0701</v>
      </c>
      <c r="C1621" t="str">
        <f t="shared" si="42"/>
        <v>45</v>
      </c>
    </row>
    <row r="1622" spans="1:3" x14ac:dyDescent="0.25">
      <c r="A1622" t="s">
        <v>1213</v>
      </c>
      <c r="B1622" t="str">
        <f>"45.0702"</f>
        <v>45.0702</v>
      </c>
      <c r="C1622" t="str">
        <f t="shared" si="42"/>
        <v>45</v>
      </c>
    </row>
    <row r="1623" spans="1:3" x14ac:dyDescent="0.25">
      <c r="A1623" t="s">
        <v>1214</v>
      </c>
      <c r="B1623" t="str">
        <f>"45.0799"</f>
        <v>45.0799</v>
      </c>
      <c r="C1623" t="str">
        <f t="shared" si="42"/>
        <v>45</v>
      </c>
    </row>
    <row r="1624" spans="1:3" x14ac:dyDescent="0.25">
      <c r="A1624" t="s">
        <v>1215</v>
      </c>
      <c r="B1624" t="str">
        <f>"45.09"</f>
        <v>45.09</v>
      </c>
      <c r="C1624" t="str">
        <f t="shared" si="42"/>
        <v>45</v>
      </c>
    </row>
    <row r="1625" spans="1:3" x14ac:dyDescent="0.25">
      <c r="A1625" t="s">
        <v>1216</v>
      </c>
      <c r="B1625" t="str">
        <f>"45.0901"</f>
        <v>45.0901</v>
      </c>
      <c r="C1625" t="str">
        <f t="shared" si="42"/>
        <v>45</v>
      </c>
    </row>
    <row r="1626" spans="1:3" x14ac:dyDescent="0.25">
      <c r="A1626" t="s">
        <v>1217</v>
      </c>
      <c r="B1626" t="str">
        <f>"45.0902"</f>
        <v>45.0902</v>
      </c>
      <c r="C1626" t="str">
        <f t="shared" si="42"/>
        <v>45</v>
      </c>
    </row>
    <row r="1627" spans="1:3" x14ac:dyDescent="0.25">
      <c r="A1627" t="s">
        <v>1218</v>
      </c>
      <c r="B1627" t="str">
        <f>"45.0999"</f>
        <v>45.0999</v>
      </c>
      <c r="C1627" t="str">
        <f t="shared" si="42"/>
        <v>45</v>
      </c>
    </row>
    <row r="1628" spans="1:3" x14ac:dyDescent="0.25">
      <c r="A1628" t="s">
        <v>1219</v>
      </c>
      <c r="B1628" t="str">
        <f>"45.10"</f>
        <v>45.10</v>
      </c>
      <c r="C1628" t="str">
        <f t="shared" si="42"/>
        <v>45</v>
      </c>
    </row>
    <row r="1629" spans="1:3" x14ac:dyDescent="0.25">
      <c r="A1629" t="s">
        <v>1220</v>
      </c>
      <c r="B1629" t="str">
        <f>"45.1001"</f>
        <v>45.1001</v>
      </c>
      <c r="C1629" t="str">
        <f t="shared" si="42"/>
        <v>45</v>
      </c>
    </row>
    <row r="1630" spans="1:3" x14ac:dyDescent="0.25">
      <c r="A1630" t="s">
        <v>1221</v>
      </c>
      <c r="B1630" t="str">
        <f>"45.1002"</f>
        <v>45.1002</v>
      </c>
      <c r="C1630" t="str">
        <f t="shared" si="42"/>
        <v>45</v>
      </c>
    </row>
    <row r="1631" spans="1:3" x14ac:dyDescent="0.25">
      <c r="A1631" t="s">
        <v>1222</v>
      </c>
      <c r="B1631" t="str">
        <f>"45.1003"</f>
        <v>45.1003</v>
      </c>
      <c r="C1631" t="str">
        <f t="shared" si="42"/>
        <v>45</v>
      </c>
    </row>
    <row r="1632" spans="1:3" x14ac:dyDescent="0.25">
      <c r="A1632" t="s">
        <v>1223</v>
      </c>
      <c r="B1632" t="str">
        <f>"45.1004"</f>
        <v>45.1004</v>
      </c>
      <c r="C1632" t="str">
        <f t="shared" si="42"/>
        <v>45</v>
      </c>
    </row>
    <row r="1633" spans="1:3" x14ac:dyDescent="0.25">
      <c r="A1633" t="s">
        <v>1224</v>
      </c>
      <c r="B1633" t="str">
        <f>"45.1099"</f>
        <v>45.1099</v>
      </c>
      <c r="C1633" t="str">
        <f t="shared" si="42"/>
        <v>45</v>
      </c>
    </row>
    <row r="1634" spans="1:3" x14ac:dyDescent="0.25">
      <c r="A1634" t="s">
        <v>1225</v>
      </c>
      <c r="B1634" t="str">
        <f>"45.11"</f>
        <v>45.11</v>
      </c>
      <c r="C1634" t="str">
        <f t="shared" si="42"/>
        <v>45</v>
      </c>
    </row>
    <row r="1635" spans="1:3" x14ac:dyDescent="0.25">
      <c r="A1635" t="s">
        <v>2071</v>
      </c>
      <c r="B1635" t="str">
        <f>"45.1101"</f>
        <v>45.1101</v>
      </c>
      <c r="C1635" t="str">
        <f t="shared" si="42"/>
        <v>45</v>
      </c>
    </row>
    <row r="1636" spans="1:3" x14ac:dyDescent="0.25">
      <c r="A1636" t="s">
        <v>2072</v>
      </c>
      <c r="B1636" t="str">
        <f>"45.1102"</f>
        <v>45.1102</v>
      </c>
      <c r="C1636" t="str">
        <f t="shared" si="42"/>
        <v>45</v>
      </c>
    </row>
    <row r="1637" spans="1:3" x14ac:dyDescent="0.25">
      <c r="A1637" t="s">
        <v>1228</v>
      </c>
      <c r="B1637" t="str">
        <f>"45.1103"</f>
        <v>45.1103</v>
      </c>
      <c r="C1637" t="str">
        <f t="shared" si="42"/>
        <v>45</v>
      </c>
    </row>
    <row r="1638" spans="1:3" x14ac:dyDescent="0.25">
      <c r="A1638" t="s">
        <v>2073</v>
      </c>
      <c r="B1638" t="str">
        <f>"45.1199"</f>
        <v>45.1199</v>
      </c>
      <c r="C1638" t="str">
        <f t="shared" si="42"/>
        <v>45</v>
      </c>
    </row>
    <row r="1639" spans="1:3" x14ac:dyDescent="0.25">
      <c r="A1639" t="s">
        <v>1226</v>
      </c>
      <c r="B1639" t="str">
        <f>"45.12"</f>
        <v>45.12</v>
      </c>
      <c r="C1639" t="str">
        <f t="shared" si="42"/>
        <v>45</v>
      </c>
    </row>
    <row r="1640" spans="1:3" x14ac:dyDescent="0.25">
      <c r="A1640" t="s">
        <v>1226</v>
      </c>
      <c r="B1640" t="str">
        <f>"45.1201"</f>
        <v>45.1201</v>
      </c>
      <c r="C1640" t="str">
        <f t="shared" si="42"/>
        <v>45</v>
      </c>
    </row>
    <row r="1641" spans="1:3" x14ac:dyDescent="0.25">
      <c r="A1641" t="s">
        <v>1227</v>
      </c>
      <c r="B1641" t="str">
        <f>"45.13"</f>
        <v>45.13</v>
      </c>
      <c r="C1641" t="str">
        <f t="shared" si="42"/>
        <v>45</v>
      </c>
    </row>
    <row r="1642" spans="1:3" x14ac:dyDescent="0.25">
      <c r="A1642" t="s">
        <v>1227</v>
      </c>
      <c r="B1642" t="str">
        <f>"45.1301"</f>
        <v>45.1301</v>
      </c>
      <c r="C1642" t="str">
        <f t="shared" si="42"/>
        <v>45</v>
      </c>
    </row>
    <row r="1643" spans="1:3" x14ac:dyDescent="0.25">
      <c r="A1643" t="s">
        <v>1228</v>
      </c>
      <c r="B1643" t="str">
        <f>"45.14"</f>
        <v>45.14</v>
      </c>
      <c r="C1643" t="str">
        <f t="shared" si="42"/>
        <v>45</v>
      </c>
    </row>
    <row r="1644" spans="1:3" x14ac:dyDescent="0.25">
      <c r="A1644" t="s">
        <v>1228</v>
      </c>
      <c r="B1644" t="str">
        <f>"45.1401"</f>
        <v>45.1401</v>
      </c>
      <c r="C1644" t="str">
        <f t="shared" si="42"/>
        <v>45</v>
      </c>
    </row>
    <row r="1645" spans="1:3" x14ac:dyDescent="0.25">
      <c r="A1645" t="s">
        <v>2074</v>
      </c>
      <c r="B1645" t="str">
        <f>"45.15"</f>
        <v>45.15</v>
      </c>
      <c r="C1645" t="str">
        <f t="shared" si="42"/>
        <v>45</v>
      </c>
    </row>
    <row r="1646" spans="1:3" x14ac:dyDescent="0.25">
      <c r="A1646" t="s">
        <v>2074</v>
      </c>
      <c r="B1646" t="str">
        <f>"45.1501"</f>
        <v>45.1501</v>
      </c>
      <c r="C1646" t="str">
        <f t="shared" si="42"/>
        <v>45</v>
      </c>
    </row>
    <row r="1647" spans="1:3" x14ac:dyDescent="0.25">
      <c r="A1647" t="s">
        <v>1229</v>
      </c>
      <c r="B1647" t="str">
        <f>"45.99"</f>
        <v>45.99</v>
      </c>
      <c r="C1647" t="str">
        <f t="shared" si="42"/>
        <v>45</v>
      </c>
    </row>
    <row r="1648" spans="1:3" x14ac:dyDescent="0.25">
      <c r="A1648" t="s">
        <v>1229</v>
      </c>
      <c r="B1648" t="str">
        <f>"45.9999"</f>
        <v>45.9999</v>
      </c>
      <c r="C1648" t="str">
        <f t="shared" si="42"/>
        <v>45</v>
      </c>
    </row>
    <row r="1649" spans="1:3" x14ac:dyDescent="0.25">
      <c r="A1649" t="s">
        <v>1230</v>
      </c>
      <c r="B1649" t="str">
        <f>"46"</f>
        <v>46</v>
      </c>
      <c r="C1649" t="str">
        <f>"46"</f>
        <v>46</v>
      </c>
    </row>
    <row r="1650" spans="1:3" x14ac:dyDescent="0.25">
      <c r="A1650" t="s">
        <v>1231</v>
      </c>
      <c r="B1650" t="str">
        <f>"46.00"</f>
        <v>46.00</v>
      </c>
      <c r="C1650" t="str">
        <f t="shared" ref="C1650:C1682" si="43">"46"</f>
        <v>46</v>
      </c>
    </row>
    <row r="1651" spans="1:3" x14ac:dyDescent="0.25">
      <c r="A1651" t="s">
        <v>1231</v>
      </c>
      <c r="B1651" t="str">
        <f>"46.0000"</f>
        <v>46.0000</v>
      </c>
      <c r="C1651" t="str">
        <f t="shared" si="43"/>
        <v>46</v>
      </c>
    </row>
    <row r="1652" spans="1:3" x14ac:dyDescent="0.25">
      <c r="A1652" t="s">
        <v>1232</v>
      </c>
      <c r="B1652" t="str">
        <f>"46.01"</f>
        <v>46.01</v>
      </c>
      <c r="C1652" t="str">
        <f t="shared" si="43"/>
        <v>46</v>
      </c>
    </row>
    <row r="1653" spans="1:3" x14ac:dyDescent="0.25">
      <c r="A1653" t="s">
        <v>1232</v>
      </c>
      <c r="B1653" t="str">
        <f>"46.0101"</f>
        <v>46.0101</v>
      </c>
      <c r="C1653" t="str">
        <f t="shared" si="43"/>
        <v>46</v>
      </c>
    </row>
    <row r="1654" spans="1:3" x14ac:dyDescent="0.25">
      <c r="A1654" t="s">
        <v>1233</v>
      </c>
      <c r="B1654" t="str">
        <f>"46.02"</f>
        <v>46.02</v>
      </c>
      <c r="C1654" t="str">
        <f t="shared" si="43"/>
        <v>46</v>
      </c>
    </row>
    <row r="1655" spans="1:3" x14ac:dyDescent="0.25">
      <c r="A1655" t="s">
        <v>2075</v>
      </c>
      <c r="B1655" t="str">
        <f>"46.0201"</f>
        <v>46.0201</v>
      </c>
      <c r="C1655" t="str">
        <f t="shared" si="43"/>
        <v>46</v>
      </c>
    </row>
    <row r="1656" spans="1:3" x14ac:dyDescent="0.25">
      <c r="A1656" t="s">
        <v>1234</v>
      </c>
      <c r="B1656" t="str">
        <f>"46.03"</f>
        <v>46.03</v>
      </c>
      <c r="C1656" t="str">
        <f t="shared" si="43"/>
        <v>46</v>
      </c>
    </row>
    <row r="1657" spans="1:3" x14ac:dyDescent="0.25">
      <c r="A1657" t="s">
        <v>1235</v>
      </c>
      <c r="B1657" t="str">
        <f>"46.0301"</f>
        <v>46.0301</v>
      </c>
      <c r="C1657" t="str">
        <f t="shared" si="43"/>
        <v>46</v>
      </c>
    </row>
    <row r="1658" spans="1:3" x14ac:dyDescent="0.25">
      <c r="A1658" t="s">
        <v>1236</v>
      </c>
      <c r="B1658" t="str">
        <f>"46.0302"</f>
        <v>46.0302</v>
      </c>
      <c r="C1658" t="str">
        <f t="shared" si="43"/>
        <v>46</v>
      </c>
    </row>
    <row r="1659" spans="1:3" x14ac:dyDescent="0.25">
      <c r="A1659" t="s">
        <v>1237</v>
      </c>
      <c r="B1659" t="str">
        <f>"46.0303"</f>
        <v>46.0303</v>
      </c>
      <c r="C1659" t="str">
        <f t="shared" si="43"/>
        <v>46</v>
      </c>
    </row>
    <row r="1660" spans="1:3" x14ac:dyDescent="0.25">
      <c r="A1660" t="s">
        <v>1238</v>
      </c>
      <c r="B1660" t="str">
        <f>"46.0399"</f>
        <v>46.0399</v>
      </c>
      <c r="C1660" t="str">
        <f t="shared" si="43"/>
        <v>46</v>
      </c>
    </row>
    <row r="1661" spans="1:3" x14ac:dyDescent="0.25">
      <c r="A1661" t="s">
        <v>1239</v>
      </c>
      <c r="B1661" t="str">
        <f>"46.04"</f>
        <v>46.04</v>
      </c>
      <c r="C1661" t="str">
        <f t="shared" si="43"/>
        <v>46</v>
      </c>
    </row>
    <row r="1662" spans="1:3" x14ac:dyDescent="0.25">
      <c r="A1662" t="s">
        <v>1240</v>
      </c>
      <c r="B1662" t="str">
        <f>"46.0401"</f>
        <v>46.0401</v>
      </c>
      <c r="C1662" t="str">
        <f t="shared" si="43"/>
        <v>46</v>
      </c>
    </row>
    <row r="1663" spans="1:3" x14ac:dyDescent="0.25">
      <c r="A1663" t="s">
        <v>1241</v>
      </c>
      <c r="B1663" t="str">
        <f>"46.0402"</f>
        <v>46.0402</v>
      </c>
      <c r="C1663" t="str">
        <f t="shared" si="43"/>
        <v>46</v>
      </c>
    </row>
    <row r="1664" spans="1:3" x14ac:dyDescent="0.25">
      <c r="A1664" t="s">
        <v>1242</v>
      </c>
      <c r="B1664" t="str">
        <f>"46.0403"</f>
        <v>46.0403</v>
      </c>
      <c r="C1664" t="str">
        <f t="shared" si="43"/>
        <v>46</v>
      </c>
    </row>
    <row r="1665" spans="1:3" x14ac:dyDescent="0.25">
      <c r="A1665" t="s">
        <v>1243</v>
      </c>
      <c r="B1665" t="str">
        <f>"46.0404"</f>
        <v>46.0404</v>
      </c>
      <c r="C1665" t="str">
        <f t="shared" si="43"/>
        <v>46</v>
      </c>
    </row>
    <row r="1666" spans="1:3" x14ac:dyDescent="0.25">
      <c r="A1666" t="s">
        <v>1244</v>
      </c>
      <c r="B1666" t="str">
        <f>"46.0406"</f>
        <v>46.0406</v>
      </c>
      <c r="C1666" t="str">
        <f t="shared" si="43"/>
        <v>46</v>
      </c>
    </row>
    <row r="1667" spans="1:3" x14ac:dyDescent="0.25">
      <c r="A1667" t="s">
        <v>1245</v>
      </c>
      <c r="B1667" t="str">
        <f>"46.0408"</f>
        <v>46.0408</v>
      </c>
      <c r="C1667" t="str">
        <f t="shared" si="43"/>
        <v>46</v>
      </c>
    </row>
    <row r="1668" spans="1:3" x14ac:dyDescent="0.25">
      <c r="A1668" t="s">
        <v>1246</v>
      </c>
      <c r="B1668" t="str">
        <f>"46.0410"</f>
        <v>46.0410</v>
      </c>
      <c r="C1668" t="str">
        <f t="shared" si="43"/>
        <v>46</v>
      </c>
    </row>
    <row r="1669" spans="1:3" x14ac:dyDescent="0.25">
      <c r="A1669" t="s">
        <v>1247</v>
      </c>
      <c r="B1669" t="str">
        <f>"46.0411"</f>
        <v>46.0411</v>
      </c>
      <c r="C1669" t="str">
        <f t="shared" si="43"/>
        <v>46</v>
      </c>
    </row>
    <row r="1670" spans="1:3" x14ac:dyDescent="0.25">
      <c r="A1670" t="s">
        <v>1248</v>
      </c>
      <c r="B1670" t="str">
        <f>"46.0412"</f>
        <v>46.0412</v>
      </c>
      <c r="C1670" t="str">
        <f t="shared" si="43"/>
        <v>46</v>
      </c>
    </row>
    <row r="1671" spans="1:3" x14ac:dyDescent="0.25">
      <c r="A1671" t="s">
        <v>1249</v>
      </c>
      <c r="B1671" t="str">
        <f>"46.0413"</f>
        <v>46.0413</v>
      </c>
      <c r="C1671" t="str">
        <f t="shared" si="43"/>
        <v>46</v>
      </c>
    </row>
    <row r="1672" spans="1:3" x14ac:dyDescent="0.25">
      <c r="A1672" t="s">
        <v>1250</v>
      </c>
      <c r="B1672" t="str">
        <f>"46.0414"</f>
        <v>46.0414</v>
      </c>
      <c r="C1672" t="str">
        <f t="shared" si="43"/>
        <v>46</v>
      </c>
    </row>
    <row r="1673" spans="1:3" x14ac:dyDescent="0.25">
      <c r="A1673" t="s">
        <v>2076</v>
      </c>
      <c r="B1673" t="str">
        <f>"46.0415"</f>
        <v>46.0415</v>
      </c>
      <c r="C1673" t="str">
        <f t="shared" si="43"/>
        <v>46</v>
      </c>
    </row>
    <row r="1674" spans="1:3" x14ac:dyDescent="0.25">
      <c r="A1674" t="s">
        <v>1251</v>
      </c>
      <c r="B1674" t="str">
        <f>"46.0499"</f>
        <v>46.0499</v>
      </c>
      <c r="C1674" t="str">
        <f t="shared" si="43"/>
        <v>46</v>
      </c>
    </row>
    <row r="1675" spans="1:3" x14ac:dyDescent="0.25">
      <c r="A1675" t="s">
        <v>1252</v>
      </c>
      <c r="B1675" t="str">
        <f>"46.05"</f>
        <v>46.05</v>
      </c>
      <c r="C1675" t="str">
        <f t="shared" si="43"/>
        <v>46</v>
      </c>
    </row>
    <row r="1676" spans="1:3" x14ac:dyDescent="0.25">
      <c r="A1676" t="s">
        <v>1253</v>
      </c>
      <c r="B1676" t="str">
        <f>"46.0502"</f>
        <v>46.0502</v>
      </c>
      <c r="C1676" t="str">
        <f t="shared" si="43"/>
        <v>46</v>
      </c>
    </row>
    <row r="1677" spans="1:3" x14ac:dyDescent="0.25">
      <c r="A1677" t="s">
        <v>1254</v>
      </c>
      <c r="B1677" t="str">
        <f>"46.0503"</f>
        <v>46.0503</v>
      </c>
      <c r="C1677" t="str">
        <f t="shared" si="43"/>
        <v>46</v>
      </c>
    </row>
    <row r="1678" spans="1:3" x14ac:dyDescent="0.25">
      <c r="A1678" t="s">
        <v>1255</v>
      </c>
      <c r="B1678" t="str">
        <f>"46.0504"</f>
        <v>46.0504</v>
      </c>
      <c r="C1678" t="str">
        <f t="shared" si="43"/>
        <v>46</v>
      </c>
    </row>
    <row r="1679" spans="1:3" x14ac:dyDescent="0.25">
      <c r="A1679" t="s">
        <v>1256</v>
      </c>
      <c r="B1679" t="str">
        <f>"46.0505"</f>
        <v>46.0505</v>
      </c>
      <c r="C1679" t="str">
        <f t="shared" si="43"/>
        <v>46</v>
      </c>
    </row>
    <row r="1680" spans="1:3" x14ac:dyDescent="0.25">
      <c r="A1680" t="s">
        <v>1257</v>
      </c>
      <c r="B1680" t="str">
        <f>"46.0599"</f>
        <v>46.0599</v>
      </c>
      <c r="C1680" t="str">
        <f t="shared" si="43"/>
        <v>46</v>
      </c>
    </row>
    <row r="1681" spans="1:3" x14ac:dyDescent="0.25">
      <c r="A1681" t="s">
        <v>1258</v>
      </c>
      <c r="B1681" t="str">
        <f>"46.99"</f>
        <v>46.99</v>
      </c>
      <c r="C1681" t="str">
        <f t="shared" si="43"/>
        <v>46</v>
      </c>
    </row>
    <row r="1682" spans="1:3" x14ac:dyDescent="0.25">
      <c r="A1682" t="s">
        <v>1258</v>
      </c>
      <c r="B1682" t="str">
        <f>"46.9999"</f>
        <v>46.9999</v>
      </c>
      <c r="C1682" t="str">
        <f t="shared" si="43"/>
        <v>46</v>
      </c>
    </row>
    <row r="1683" spans="1:3" x14ac:dyDescent="0.25">
      <c r="A1683" t="s">
        <v>1259</v>
      </c>
      <c r="B1683" t="str">
        <f>"47"</f>
        <v>47</v>
      </c>
      <c r="C1683" t="str">
        <f>"47"</f>
        <v>47</v>
      </c>
    </row>
    <row r="1684" spans="1:3" x14ac:dyDescent="0.25">
      <c r="A1684" t="s">
        <v>1260</v>
      </c>
      <c r="B1684" t="str">
        <f>"47.00"</f>
        <v>47.00</v>
      </c>
      <c r="C1684" t="str">
        <f t="shared" ref="C1684:C1735" si="44">"47"</f>
        <v>47</v>
      </c>
    </row>
    <row r="1685" spans="1:3" x14ac:dyDescent="0.25">
      <c r="A1685" t="s">
        <v>1260</v>
      </c>
      <c r="B1685" t="str">
        <f>"47.0000"</f>
        <v>47.0000</v>
      </c>
      <c r="C1685" t="str">
        <f t="shared" si="44"/>
        <v>47</v>
      </c>
    </row>
    <row r="1686" spans="1:3" x14ac:dyDescent="0.25">
      <c r="A1686" t="s">
        <v>2077</v>
      </c>
      <c r="B1686" t="str">
        <f>"47.01"</f>
        <v>47.01</v>
      </c>
      <c r="C1686" t="str">
        <f t="shared" si="44"/>
        <v>47</v>
      </c>
    </row>
    <row r="1687" spans="1:3" x14ac:dyDescent="0.25">
      <c r="A1687" t="s">
        <v>2078</v>
      </c>
      <c r="B1687" t="str">
        <f>"47.0101"</f>
        <v>47.0101</v>
      </c>
      <c r="C1687" t="str">
        <f t="shared" si="44"/>
        <v>47</v>
      </c>
    </row>
    <row r="1688" spans="1:3" x14ac:dyDescent="0.25">
      <c r="A1688" t="s">
        <v>1261</v>
      </c>
      <c r="B1688" t="str">
        <f>"47.0102"</f>
        <v>47.0102</v>
      </c>
      <c r="C1688" t="str">
        <f t="shared" si="44"/>
        <v>47</v>
      </c>
    </row>
    <row r="1689" spans="1:3" x14ac:dyDescent="0.25">
      <c r="A1689" t="s">
        <v>2079</v>
      </c>
      <c r="B1689" t="str">
        <f>"47.0103"</f>
        <v>47.0103</v>
      </c>
      <c r="C1689" t="str">
        <f t="shared" si="44"/>
        <v>47</v>
      </c>
    </row>
    <row r="1690" spans="1:3" x14ac:dyDescent="0.25">
      <c r="A1690" t="s">
        <v>1262</v>
      </c>
      <c r="B1690" t="str">
        <f>"47.0104"</f>
        <v>47.0104</v>
      </c>
      <c r="C1690" t="str">
        <f t="shared" si="44"/>
        <v>47</v>
      </c>
    </row>
    <row r="1691" spans="1:3" x14ac:dyDescent="0.25">
      <c r="A1691" t="s">
        <v>1263</v>
      </c>
      <c r="B1691" t="str">
        <f>"47.0105"</f>
        <v>47.0105</v>
      </c>
      <c r="C1691" t="str">
        <f t="shared" si="44"/>
        <v>47</v>
      </c>
    </row>
    <row r="1692" spans="1:3" x14ac:dyDescent="0.25">
      <c r="A1692" t="s">
        <v>1264</v>
      </c>
      <c r="B1692" t="str">
        <f>"47.0106"</f>
        <v>47.0106</v>
      </c>
      <c r="C1692" t="str">
        <f t="shared" si="44"/>
        <v>47</v>
      </c>
    </row>
    <row r="1693" spans="1:3" x14ac:dyDescent="0.25">
      <c r="A1693" t="s">
        <v>1265</v>
      </c>
      <c r="B1693" t="str">
        <f>"47.0110"</f>
        <v>47.0110</v>
      </c>
      <c r="C1693" t="str">
        <f t="shared" si="44"/>
        <v>47</v>
      </c>
    </row>
    <row r="1694" spans="1:3" x14ac:dyDescent="0.25">
      <c r="A1694" t="s">
        <v>2080</v>
      </c>
      <c r="B1694" t="str">
        <f>"47.0199"</f>
        <v>47.0199</v>
      </c>
      <c r="C1694" t="str">
        <f t="shared" si="44"/>
        <v>47</v>
      </c>
    </row>
    <row r="1695" spans="1:3" x14ac:dyDescent="0.25">
      <c r="A1695" t="s">
        <v>1266</v>
      </c>
      <c r="B1695" t="str">
        <f>"47.02"</f>
        <v>47.02</v>
      </c>
      <c r="C1695" t="str">
        <f t="shared" si="44"/>
        <v>47</v>
      </c>
    </row>
    <row r="1696" spans="1:3" x14ac:dyDescent="0.25">
      <c r="A1696" t="s">
        <v>2081</v>
      </c>
      <c r="B1696" t="str">
        <f>"47.0201"</f>
        <v>47.0201</v>
      </c>
      <c r="C1696" t="str">
        <f t="shared" si="44"/>
        <v>47</v>
      </c>
    </row>
    <row r="1697" spans="1:3" x14ac:dyDescent="0.25">
      <c r="A1697" t="s">
        <v>2082</v>
      </c>
      <c r="B1697" t="str">
        <f>"47.03"</f>
        <v>47.03</v>
      </c>
      <c r="C1697" t="str">
        <f t="shared" si="44"/>
        <v>47</v>
      </c>
    </row>
    <row r="1698" spans="1:3" x14ac:dyDescent="0.25">
      <c r="A1698" t="s">
        <v>1267</v>
      </c>
      <c r="B1698" t="str">
        <f>"47.0302"</f>
        <v>47.0302</v>
      </c>
      <c r="C1698" t="str">
        <f t="shared" si="44"/>
        <v>47</v>
      </c>
    </row>
    <row r="1699" spans="1:3" x14ac:dyDescent="0.25">
      <c r="A1699" t="s">
        <v>2083</v>
      </c>
      <c r="B1699" t="str">
        <f>"47.0303"</f>
        <v>47.0303</v>
      </c>
      <c r="C1699" t="str">
        <f t="shared" si="44"/>
        <v>47</v>
      </c>
    </row>
    <row r="1700" spans="1:3" x14ac:dyDescent="0.25">
      <c r="A1700" t="s">
        <v>2084</v>
      </c>
      <c r="B1700" t="str">
        <f>"47.0399"</f>
        <v>47.0399</v>
      </c>
      <c r="C1700" t="str">
        <f t="shared" si="44"/>
        <v>47</v>
      </c>
    </row>
    <row r="1701" spans="1:3" x14ac:dyDescent="0.25">
      <c r="A1701" t="s">
        <v>2085</v>
      </c>
      <c r="B1701" t="str">
        <f>"47.04"</f>
        <v>47.04</v>
      </c>
      <c r="C1701" t="str">
        <f t="shared" si="44"/>
        <v>47</v>
      </c>
    </row>
    <row r="1702" spans="1:3" x14ac:dyDescent="0.25">
      <c r="A1702" t="s">
        <v>1268</v>
      </c>
      <c r="B1702" t="str">
        <f>"47.0402"</f>
        <v>47.0402</v>
      </c>
      <c r="C1702" t="str">
        <f t="shared" si="44"/>
        <v>47</v>
      </c>
    </row>
    <row r="1703" spans="1:3" x14ac:dyDescent="0.25">
      <c r="A1703" t="s">
        <v>1269</v>
      </c>
      <c r="B1703" t="str">
        <f>"47.0403"</f>
        <v>47.0403</v>
      </c>
      <c r="C1703" t="str">
        <f t="shared" si="44"/>
        <v>47</v>
      </c>
    </row>
    <row r="1704" spans="1:3" x14ac:dyDescent="0.25">
      <c r="A1704" t="s">
        <v>1270</v>
      </c>
      <c r="B1704" t="str">
        <f>"47.0404"</f>
        <v>47.0404</v>
      </c>
      <c r="C1704" t="str">
        <f t="shared" si="44"/>
        <v>47</v>
      </c>
    </row>
    <row r="1705" spans="1:3" x14ac:dyDescent="0.25">
      <c r="A1705" t="s">
        <v>1271</v>
      </c>
      <c r="B1705" t="str">
        <f>"47.0408"</f>
        <v>47.0408</v>
      </c>
      <c r="C1705" t="str">
        <f t="shared" si="44"/>
        <v>47</v>
      </c>
    </row>
    <row r="1706" spans="1:3" x14ac:dyDescent="0.25">
      <c r="A1706" t="s">
        <v>1272</v>
      </c>
      <c r="B1706" t="str">
        <f>"47.0409"</f>
        <v>47.0409</v>
      </c>
      <c r="C1706" t="str">
        <f t="shared" si="44"/>
        <v>47</v>
      </c>
    </row>
    <row r="1707" spans="1:3" x14ac:dyDescent="0.25">
      <c r="A1707" t="s">
        <v>2086</v>
      </c>
      <c r="B1707" t="str">
        <f>"47.0499"</f>
        <v>47.0499</v>
      </c>
      <c r="C1707" t="str">
        <f t="shared" si="44"/>
        <v>47</v>
      </c>
    </row>
    <row r="1708" spans="1:3" x14ac:dyDescent="0.25">
      <c r="A1708" t="s">
        <v>2087</v>
      </c>
      <c r="B1708" t="str">
        <f>"47.06"</f>
        <v>47.06</v>
      </c>
      <c r="C1708" t="str">
        <f t="shared" si="44"/>
        <v>47</v>
      </c>
    </row>
    <row r="1709" spans="1:3" x14ac:dyDescent="0.25">
      <c r="A1709" t="s">
        <v>2088</v>
      </c>
      <c r="B1709" t="str">
        <f>"47.0600"</f>
        <v>47.0600</v>
      </c>
      <c r="C1709" t="str">
        <f t="shared" si="44"/>
        <v>47</v>
      </c>
    </row>
    <row r="1710" spans="1:3" x14ac:dyDescent="0.25">
      <c r="A1710" t="s">
        <v>1273</v>
      </c>
      <c r="B1710" t="str">
        <f>"47.0603"</f>
        <v>47.0603</v>
      </c>
      <c r="C1710" t="str">
        <f t="shared" si="44"/>
        <v>47</v>
      </c>
    </row>
    <row r="1711" spans="1:3" x14ac:dyDescent="0.25">
      <c r="A1711" t="s">
        <v>1274</v>
      </c>
      <c r="B1711" t="str">
        <f>"47.0604"</f>
        <v>47.0604</v>
      </c>
      <c r="C1711" t="str">
        <f t="shared" si="44"/>
        <v>47</v>
      </c>
    </row>
    <row r="1712" spans="1:3" x14ac:dyDescent="0.25">
      <c r="A1712" t="s">
        <v>1275</v>
      </c>
      <c r="B1712" t="str">
        <f>"47.0605"</f>
        <v>47.0605</v>
      </c>
      <c r="C1712" t="str">
        <f t="shared" si="44"/>
        <v>47</v>
      </c>
    </row>
    <row r="1713" spans="1:3" x14ac:dyDescent="0.25">
      <c r="A1713" t="s">
        <v>1276</v>
      </c>
      <c r="B1713" t="str">
        <f>"47.0606"</f>
        <v>47.0606</v>
      </c>
      <c r="C1713" t="str">
        <f t="shared" si="44"/>
        <v>47</v>
      </c>
    </row>
    <row r="1714" spans="1:3" x14ac:dyDescent="0.25">
      <c r="A1714" t="s">
        <v>1277</v>
      </c>
      <c r="B1714" t="str">
        <f>"47.0607"</f>
        <v>47.0607</v>
      </c>
      <c r="C1714" t="str">
        <f t="shared" si="44"/>
        <v>47</v>
      </c>
    </row>
    <row r="1715" spans="1:3" x14ac:dyDescent="0.25">
      <c r="A1715" t="s">
        <v>1278</v>
      </c>
      <c r="B1715" t="str">
        <f>"47.0608"</f>
        <v>47.0608</v>
      </c>
      <c r="C1715" t="str">
        <f t="shared" si="44"/>
        <v>47</v>
      </c>
    </row>
    <row r="1716" spans="1:3" x14ac:dyDescent="0.25">
      <c r="A1716" t="s">
        <v>1279</v>
      </c>
      <c r="B1716" t="str">
        <f>"47.0609"</f>
        <v>47.0609</v>
      </c>
      <c r="C1716" t="str">
        <f t="shared" si="44"/>
        <v>47</v>
      </c>
    </row>
    <row r="1717" spans="1:3" x14ac:dyDescent="0.25">
      <c r="A1717" t="s">
        <v>1280</v>
      </c>
      <c r="B1717" t="str">
        <f>"47.0610"</f>
        <v>47.0610</v>
      </c>
      <c r="C1717" t="str">
        <f t="shared" si="44"/>
        <v>47</v>
      </c>
    </row>
    <row r="1718" spans="1:3" x14ac:dyDescent="0.25">
      <c r="A1718" t="s">
        <v>1281</v>
      </c>
      <c r="B1718" t="str">
        <f>"47.0611"</f>
        <v>47.0611</v>
      </c>
      <c r="C1718" t="str">
        <f t="shared" si="44"/>
        <v>47</v>
      </c>
    </row>
    <row r="1719" spans="1:3" x14ac:dyDescent="0.25">
      <c r="A1719" t="s">
        <v>1282</v>
      </c>
      <c r="B1719" t="str">
        <f>"47.0612"</f>
        <v>47.0612</v>
      </c>
      <c r="C1719" t="str">
        <f t="shared" si="44"/>
        <v>47</v>
      </c>
    </row>
    <row r="1720" spans="1:3" x14ac:dyDescent="0.25">
      <c r="A1720" t="s">
        <v>1283</v>
      </c>
      <c r="B1720" t="str">
        <f>"47.0613"</f>
        <v>47.0613</v>
      </c>
      <c r="C1720" t="str">
        <f t="shared" si="44"/>
        <v>47</v>
      </c>
    </row>
    <row r="1721" spans="1:3" x14ac:dyDescent="0.25">
      <c r="A1721" t="s">
        <v>1284</v>
      </c>
      <c r="B1721" t="str">
        <f>"47.0614"</f>
        <v>47.0614</v>
      </c>
      <c r="C1721" t="str">
        <f t="shared" si="44"/>
        <v>47</v>
      </c>
    </row>
    <row r="1722" spans="1:3" x14ac:dyDescent="0.25">
      <c r="A1722" t="s">
        <v>1285</v>
      </c>
      <c r="B1722" t="str">
        <f>"47.0615"</f>
        <v>47.0615</v>
      </c>
      <c r="C1722" t="str">
        <f t="shared" si="44"/>
        <v>47</v>
      </c>
    </row>
    <row r="1723" spans="1:3" x14ac:dyDescent="0.25">
      <c r="A1723" t="s">
        <v>1286</v>
      </c>
      <c r="B1723" t="str">
        <f>"47.0616"</f>
        <v>47.0616</v>
      </c>
      <c r="C1723" t="str">
        <f t="shared" si="44"/>
        <v>47</v>
      </c>
    </row>
    <row r="1724" spans="1:3" x14ac:dyDescent="0.25">
      <c r="A1724" t="s">
        <v>1287</v>
      </c>
      <c r="B1724" t="str">
        <f>"47.0617"</f>
        <v>47.0617</v>
      </c>
      <c r="C1724" t="str">
        <f t="shared" si="44"/>
        <v>47</v>
      </c>
    </row>
    <row r="1725" spans="1:3" x14ac:dyDescent="0.25">
      <c r="A1725" t="s">
        <v>1288</v>
      </c>
      <c r="B1725" t="str">
        <f>"47.0618"</f>
        <v>47.0618</v>
      </c>
      <c r="C1725" t="str">
        <f t="shared" si="44"/>
        <v>47</v>
      </c>
    </row>
    <row r="1726" spans="1:3" x14ac:dyDescent="0.25">
      <c r="A1726" t="s">
        <v>2089</v>
      </c>
      <c r="B1726" t="str">
        <f>"47.0699"</f>
        <v>47.0699</v>
      </c>
      <c r="C1726" t="str">
        <f t="shared" si="44"/>
        <v>47</v>
      </c>
    </row>
    <row r="1727" spans="1:3" x14ac:dyDescent="0.25">
      <c r="A1727" t="s">
        <v>2090</v>
      </c>
      <c r="B1727" t="str">
        <f>"47.07"</f>
        <v>47.07</v>
      </c>
      <c r="C1727" t="str">
        <f t="shared" si="44"/>
        <v>47</v>
      </c>
    </row>
    <row r="1728" spans="1:3" x14ac:dyDescent="0.25">
      <c r="A1728" t="s">
        <v>2091</v>
      </c>
      <c r="B1728" t="str">
        <f>"47.0701"</f>
        <v>47.0701</v>
      </c>
      <c r="C1728" t="str">
        <f t="shared" si="44"/>
        <v>47</v>
      </c>
    </row>
    <row r="1729" spans="1:3" x14ac:dyDescent="0.25">
      <c r="A1729" t="s">
        <v>2092</v>
      </c>
      <c r="B1729" t="str">
        <f>"47.0703"</f>
        <v>47.0703</v>
      </c>
      <c r="C1729" t="str">
        <f t="shared" si="44"/>
        <v>47</v>
      </c>
    </row>
    <row r="1730" spans="1:3" x14ac:dyDescent="0.25">
      <c r="A1730" t="s">
        <v>2093</v>
      </c>
      <c r="B1730" t="str">
        <f>"47.0704"</f>
        <v>47.0704</v>
      </c>
      <c r="C1730" t="str">
        <f t="shared" si="44"/>
        <v>47</v>
      </c>
    </row>
    <row r="1731" spans="1:3" x14ac:dyDescent="0.25">
      <c r="A1731" t="s">
        <v>2094</v>
      </c>
      <c r="B1731" t="str">
        <f>"47.0705"</f>
        <v>47.0705</v>
      </c>
      <c r="C1731" t="str">
        <f t="shared" si="44"/>
        <v>47</v>
      </c>
    </row>
    <row r="1732" spans="1:3" x14ac:dyDescent="0.25">
      <c r="A1732" t="s">
        <v>2095</v>
      </c>
      <c r="B1732" t="str">
        <f>"47.0706"</f>
        <v>47.0706</v>
      </c>
      <c r="C1732" t="str">
        <f t="shared" si="44"/>
        <v>47</v>
      </c>
    </row>
    <row r="1733" spans="1:3" x14ac:dyDescent="0.25">
      <c r="A1733" t="s">
        <v>2096</v>
      </c>
      <c r="B1733" t="str">
        <f>"47.0799"</f>
        <v>47.0799</v>
      </c>
      <c r="C1733" t="str">
        <f t="shared" si="44"/>
        <v>47</v>
      </c>
    </row>
    <row r="1734" spans="1:3" x14ac:dyDescent="0.25">
      <c r="A1734" t="s">
        <v>1289</v>
      </c>
      <c r="B1734" t="str">
        <f>"47.99"</f>
        <v>47.99</v>
      </c>
      <c r="C1734" t="str">
        <f t="shared" si="44"/>
        <v>47</v>
      </c>
    </row>
    <row r="1735" spans="1:3" x14ac:dyDescent="0.25">
      <c r="A1735" t="s">
        <v>1289</v>
      </c>
      <c r="B1735" t="str">
        <f>"47.9999"</f>
        <v>47.9999</v>
      </c>
      <c r="C1735" t="str">
        <f t="shared" si="44"/>
        <v>47</v>
      </c>
    </row>
    <row r="1736" spans="1:3" x14ac:dyDescent="0.25">
      <c r="A1736" t="s">
        <v>1290</v>
      </c>
      <c r="B1736" t="str">
        <f>"48"</f>
        <v>48</v>
      </c>
      <c r="C1736" t="str">
        <f>"48"</f>
        <v>48</v>
      </c>
    </row>
    <row r="1737" spans="1:3" x14ac:dyDescent="0.25">
      <c r="A1737" t="s">
        <v>1291</v>
      </c>
      <c r="B1737" t="str">
        <f>"48.00"</f>
        <v>48.00</v>
      </c>
      <c r="C1737" t="str">
        <f t="shared" ref="C1737:C1762" si="45">"48"</f>
        <v>48</v>
      </c>
    </row>
    <row r="1738" spans="1:3" x14ac:dyDescent="0.25">
      <c r="A1738" t="s">
        <v>1291</v>
      </c>
      <c r="B1738" t="str">
        <f>"48.0000"</f>
        <v>48.0000</v>
      </c>
      <c r="C1738" t="str">
        <f t="shared" si="45"/>
        <v>48</v>
      </c>
    </row>
    <row r="1739" spans="1:3" x14ac:dyDescent="0.25">
      <c r="A1739" t="s">
        <v>1292</v>
      </c>
      <c r="B1739" t="str">
        <f>"48.03"</f>
        <v>48.03</v>
      </c>
      <c r="C1739" t="str">
        <f t="shared" si="45"/>
        <v>48</v>
      </c>
    </row>
    <row r="1740" spans="1:3" x14ac:dyDescent="0.25">
      <c r="A1740" t="s">
        <v>1293</v>
      </c>
      <c r="B1740" t="str">
        <f>"48.0303"</f>
        <v>48.0303</v>
      </c>
      <c r="C1740" t="str">
        <f t="shared" si="45"/>
        <v>48</v>
      </c>
    </row>
    <row r="1741" spans="1:3" x14ac:dyDescent="0.25">
      <c r="A1741" t="s">
        <v>1294</v>
      </c>
      <c r="B1741" t="str">
        <f>"48.0304"</f>
        <v>48.0304</v>
      </c>
      <c r="C1741" t="str">
        <f t="shared" si="45"/>
        <v>48</v>
      </c>
    </row>
    <row r="1742" spans="1:3" x14ac:dyDescent="0.25">
      <c r="A1742" t="s">
        <v>1295</v>
      </c>
      <c r="B1742" t="str">
        <f>"48.0399"</f>
        <v>48.0399</v>
      </c>
      <c r="C1742" t="str">
        <f t="shared" si="45"/>
        <v>48</v>
      </c>
    </row>
    <row r="1743" spans="1:3" x14ac:dyDescent="0.25">
      <c r="A1743" t="s">
        <v>1296</v>
      </c>
      <c r="B1743" t="str">
        <f>"48.05"</f>
        <v>48.05</v>
      </c>
      <c r="C1743" t="str">
        <f t="shared" si="45"/>
        <v>48</v>
      </c>
    </row>
    <row r="1744" spans="1:3" x14ac:dyDescent="0.25">
      <c r="A1744" t="s">
        <v>1297</v>
      </c>
      <c r="B1744" t="str">
        <f>"48.0501"</f>
        <v>48.0501</v>
      </c>
      <c r="C1744" t="str">
        <f t="shared" si="45"/>
        <v>48</v>
      </c>
    </row>
    <row r="1745" spans="1:3" x14ac:dyDescent="0.25">
      <c r="A1745" t="s">
        <v>1298</v>
      </c>
      <c r="B1745" t="str">
        <f>"48.0503"</f>
        <v>48.0503</v>
      </c>
      <c r="C1745" t="str">
        <f t="shared" si="45"/>
        <v>48</v>
      </c>
    </row>
    <row r="1746" spans="1:3" x14ac:dyDescent="0.25">
      <c r="A1746" t="s">
        <v>1299</v>
      </c>
      <c r="B1746" t="str">
        <f>"48.0506"</f>
        <v>48.0506</v>
      </c>
      <c r="C1746" t="str">
        <f t="shared" si="45"/>
        <v>48</v>
      </c>
    </row>
    <row r="1747" spans="1:3" x14ac:dyDescent="0.25">
      <c r="A1747" t="s">
        <v>1300</v>
      </c>
      <c r="B1747" t="str">
        <f>"48.0507"</f>
        <v>48.0507</v>
      </c>
      <c r="C1747" t="str">
        <f t="shared" si="45"/>
        <v>48</v>
      </c>
    </row>
    <row r="1748" spans="1:3" x14ac:dyDescent="0.25">
      <c r="A1748" t="s">
        <v>1301</v>
      </c>
      <c r="B1748" t="str">
        <f>"48.0508"</f>
        <v>48.0508</v>
      </c>
      <c r="C1748" t="str">
        <f t="shared" si="45"/>
        <v>48</v>
      </c>
    </row>
    <row r="1749" spans="1:3" x14ac:dyDescent="0.25">
      <c r="A1749" t="s">
        <v>1302</v>
      </c>
      <c r="B1749" t="str">
        <f>"48.0509"</f>
        <v>48.0509</v>
      </c>
      <c r="C1749" t="str">
        <f t="shared" si="45"/>
        <v>48</v>
      </c>
    </row>
    <row r="1750" spans="1:3" x14ac:dyDescent="0.25">
      <c r="A1750" t="s">
        <v>1303</v>
      </c>
      <c r="B1750" t="str">
        <f>"48.0510"</f>
        <v>48.0510</v>
      </c>
      <c r="C1750" t="str">
        <f t="shared" si="45"/>
        <v>48</v>
      </c>
    </row>
    <row r="1751" spans="1:3" x14ac:dyDescent="0.25">
      <c r="A1751" t="s">
        <v>1304</v>
      </c>
      <c r="B1751" t="str">
        <f>"48.0511"</f>
        <v>48.0511</v>
      </c>
      <c r="C1751" t="str">
        <f t="shared" si="45"/>
        <v>48</v>
      </c>
    </row>
    <row r="1752" spans="1:3" x14ac:dyDescent="0.25">
      <c r="A1752" t="s">
        <v>1305</v>
      </c>
      <c r="B1752" t="str">
        <f>"48.0599"</f>
        <v>48.0599</v>
      </c>
      <c r="C1752" t="str">
        <f t="shared" si="45"/>
        <v>48</v>
      </c>
    </row>
    <row r="1753" spans="1:3" x14ac:dyDescent="0.25">
      <c r="A1753" t="s">
        <v>1306</v>
      </c>
      <c r="B1753" t="str">
        <f>"48.07"</f>
        <v>48.07</v>
      </c>
      <c r="C1753" t="str">
        <f t="shared" si="45"/>
        <v>48</v>
      </c>
    </row>
    <row r="1754" spans="1:3" x14ac:dyDescent="0.25">
      <c r="A1754" t="s">
        <v>1307</v>
      </c>
      <c r="B1754" t="str">
        <f>"48.0701"</f>
        <v>48.0701</v>
      </c>
      <c r="C1754" t="str">
        <f t="shared" si="45"/>
        <v>48</v>
      </c>
    </row>
    <row r="1755" spans="1:3" x14ac:dyDescent="0.25">
      <c r="A1755" t="s">
        <v>1308</v>
      </c>
      <c r="B1755" t="str">
        <f>"48.0702"</f>
        <v>48.0702</v>
      </c>
      <c r="C1755" t="str">
        <f t="shared" si="45"/>
        <v>48</v>
      </c>
    </row>
    <row r="1756" spans="1:3" x14ac:dyDescent="0.25">
      <c r="A1756" t="s">
        <v>1309</v>
      </c>
      <c r="B1756" t="str">
        <f>"48.0703"</f>
        <v>48.0703</v>
      </c>
      <c r="C1756" t="str">
        <f t="shared" si="45"/>
        <v>48</v>
      </c>
    </row>
    <row r="1757" spans="1:3" x14ac:dyDescent="0.25">
      <c r="A1757" t="s">
        <v>2097</v>
      </c>
      <c r="B1757" t="str">
        <f>"48.0704"</f>
        <v>48.0704</v>
      </c>
      <c r="C1757" t="str">
        <f t="shared" si="45"/>
        <v>48</v>
      </c>
    </row>
    <row r="1758" spans="1:3" x14ac:dyDescent="0.25">
      <c r="A1758" t="s">
        <v>1310</v>
      </c>
      <c r="B1758" t="str">
        <f>"48.0799"</f>
        <v>48.0799</v>
      </c>
      <c r="C1758" t="str">
        <f t="shared" si="45"/>
        <v>48</v>
      </c>
    </row>
    <row r="1759" spans="1:3" x14ac:dyDescent="0.25">
      <c r="A1759" t="s">
        <v>1311</v>
      </c>
      <c r="B1759" t="str">
        <f>"48.08"</f>
        <v>48.08</v>
      </c>
      <c r="C1759" t="str">
        <f t="shared" si="45"/>
        <v>48</v>
      </c>
    </row>
    <row r="1760" spans="1:3" x14ac:dyDescent="0.25">
      <c r="A1760" t="s">
        <v>1311</v>
      </c>
      <c r="B1760" t="str">
        <f>"48.0801"</f>
        <v>48.0801</v>
      </c>
      <c r="C1760" t="str">
        <f t="shared" si="45"/>
        <v>48</v>
      </c>
    </row>
    <row r="1761" spans="1:3" x14ac:dyDescent="0.25">
      <c r="A1761" t="s">
        <v>1312</v>
      </c>
      <c r="B1761" t="str">
        <f>"48.99"</f>
        <v>48.99</v>
      </c>
      <c r="C1761" t="str">
        <f t="shared" si="45"/>
        <v>48</v>
      </c>
    </row>
    <row r="1762" spans="1:3" x14ac:dyDescent="0.25">
      <c r="A1762" t="s">
        <v>1312</v>
      </c>
      <c r="B1762" t="str">
        <f>"48.9999"</f>
        <v>48.9999</v>
      </c>
      <c r="C1762" t="str">
        <f t="shared" si="45"/>
        <v>48</v>
      </c>
    </row>
    <row r="1763" spans="1:3" x14ac:dyDescent="0.25">
      <c r="A1763" t="s">
        <v>1313</v>
      </c>
      <c r="B1763" t="str">
        <f>"49"</f>
        <v>49</v>
      </c>
      <c r="C1763" t="str">
        <f>"49"</f>
        <v>49</v>
      </c>
    </row>
    <row r="1764" spans="1:3" x14ac:dyDescent="0.25">
      <c r="A1764" t="s">
        <v>1314</v>
      </c>
      <c r="B1764" t="str">
        <f>"49.01"</f>
        <v>49.01</v>
      </c>
      <c r="C1764" t="str">
        <f t="shared" ref="C1764:C1787" si="46">"49"</f>
        <v>49</v>
      </c>
    </row>
    <row r="1765" spans="1:3" x14ac:dyDescent="0.25">
      <c r="A1765" t="s">
        <v>1315</v>
      </c>
      <c r="B1765" t="str">
        <f>"49.0101"</f>
        <v>49.0101</v>
      </c>
      <c r="C1765" t="str">
        <f t="shared" si="46"/>
        <v>49</v>
      </c>
    </row>
    <row r="1766" spans="1:3" x14ac:dyDescent="0.25">
      <c r="A1766" t="s">
        <v>1316</v>
      </c>
      <c r="B1766" t="str">
        <f>"49.0102"</f>
        <v>49.0102</v>
      </c>
      <c r="C1766" t="str">
        <f t="shared" si="46"/>
        <v>49</v>
      </c>
    </row>
    <row r="1767" spans="1:3" x14ac:dyDescent="0.25">
      <c r="A1767" t="s">
        <v>1317</v>
      </c>
      <c r="B1767" t="str">
        <f>"49.0104"</f>
        <v>49.0104</v>
      </c>
      <c r="C1767" t="str">
        <f t="shared" si="46"/>
        <v>49</v>
      </c>
    </row>
    <row r="1768" spans="1:3" x14ac:dyDescent="0.25">
      <c r="A1768" t="s">
        <v>1318</v>
      </c>
      <c r="B1768" t="str">
        <f>"49.0105"</f>
        <v>49.0105</v>
      </c>
      <c r="C1768" t="str">
        <f t="shared" si="46"/>
        <v>49</v>
      </c>
    </row>
    <row r="1769" spans="1:3" x14ac:dyDescent="0.25">
      <c r="A1769" t="s">
        <v>1319</v>
      </c>
      <c r="B1769" t="str">
        <f>"49.0106"</f>
        <v>49.0106</v>
      </c>
      <c r="C1769" t="str">
        <f t="shared" si="46"/>
        <v>49</v>
      </c>
    </row>
    <row r="1770" spans="1:3" x14ac:dyDescent="0.25">
      <c r="A1770" t="s">
        <v>1320</v>
      </c>
      <c r="B1770" t="str">
        <f>"49.0108"</f>
        <v>49.0108</v>
      </c>
      <c r="C1770" t="str">
        <f t="shared" si="46"/>
        <v>49</v>
      </c>
    </row>
    <row r="1771" spans="1:3" x14ac:dyDescent="0.25">
      <c r="A1771" t="s">
        <v>2098</v>
      </c>
      <c r="B1771" t="str">
        <f>"49.0109"</f>
        <v>49.0109</v>
      </c>
      <c r="C1771" t="str">
        <f t="shared" si="46"/>
        <v>49</v>
      </c>
    </row>
    <row r="1772" spans="1:3" x14ac:dyDescent="0.25">
      <c r="A1772" t="s">
        <v>1321</v>
      </c>
      <c r="B1772" t="str">
        <f>"49.0199"</f>
        <v>49.0199</v>
      </c>
      <c r="C1772" t="str">
        <f t="shared" si="46"/>
        <v>49</v>
      </c>
    </row>
    <row r="1773" spans="1:3" x14ac:dyDescent="0.25">
      <c r="A1773" t="s">
        <v>1322</v>
      </c>
      <c r="B1773" t="str">
        <f>"49.02"</f>
        <v>49.02</v>
      </c>
      <c r="C1773" t="str">
        <f t="shared" si="46"/>
        <v>49</v>
      </c>
    </row>
    <row r="1774" spans="1:3" x14ac:dyDescent="0.25">
      <c r="A1774" t="s">
        <v>1323</v>
      </c>
      <c r="B1774" t="str">
        <f>"49.0202"</f>
        <v>49.0202</v>
      </c>
      <c r="C1774" t="str">
        <f t="shared" si="46"/>
        <v>49</v>
      </c>
    </row>
    <row r="1775" spans="1:3" x14ac:dyDescent="0.25">
      <c r="A1775" t="s">
        <v>1324</v>
      </c>
      <c r="B1775" t="str">
        <f>"49.0205"</f>
        <v>49.0205</v>
      </c>
      <c r="C1775" t="str">
        <f t="shared" si="46"/>
        <v>49</v>
      </c>
    </row>
    <row r="1776" spans="1:3" x14ac:dyDescent="0.25">
      <c r="A1776" t="s">
        <v>2099</v>
      </c>
      <c r="B1776" t="str">
        <f>"49.0206"</f>
        <v>49.0206</v>
      </c>
      <c r="C1776" t="str">
        <f t="shared" si="46"/>
        <v>49</v>
      </c>
    </row>
    <row r="1777" spans="1:3" x14ac:dyDescent="0.25">
      <c r="A1777" t="s">
        <v>1325</v>
      </c>
      <c r="B1777" t="str">
        <f>"49.0207"</f>
        <v>49.0207</v>
      </c>
      <c r="C1777" t="str">
        <f t="shared" si="46"/>
        <v>49</v>
      </c>
    </row>
    <row r="1778" spans="1:3" x14ac:dyDescent="0.25">
      <c r="A1778" t="s">
        <v>1326</v>
      </c>
      <c r="B1778" t="str">
        <f>"49.0208"</f>
        <v>49.0208</v>
      </c>
      <c r="C1778" t="str">
        <f t="shared" si="46"/>
        <v>49</v>
      </c>
    </row>
    <row r="1779" spans="1:3" x14ac:dyDescent="0.25">
      <c r="A1779" t="s">
        <v>2100</v>
      </c>
      <c r="B1779" t="str">
        <f>"49.0209"</f>
        <v>49.0209</v>
      </c>
      <c r="C1779" t="str">
        <f t="shared" si="46"/>
        <v>49</v>
      </c>
    </row>
    <row r="1780" spans="1:3" x14ac:dyDescent="0.25">
      <c r="A1780" t="s">
        <v>1327</v>
      </c>
      <c r="B1780" t="str">
        <f>"49.0299"</f>
        <v>49.0299</v>
      </c>
      <c r="C1780" t="str">
        <f t="shared" si="46"/>
        <v>49</v>
      </c>
    </row>
    <row r="1781" spans="1:3" x14ac:dyDescent="0.25">
      <c r="A1781" t="s">
        <v>1328</v>
      </c>
      <c r="B1781" t="str">
        <f>"49.03"</f>
        <v>49.03</v>
      </c>
      <c r="C1781" t="str">
        <f t="shared" si="46"/>
        <v>49</v>
      </c>
    </row>
    <row r="1782" spans="1:3" x14ac:dyDescent="0.25">
      <c r="A1782" t="s">
        <v>1329</v>
      </c>
      <c r="B1782" t="str">
        <f>"49.0303"</f>
        <v>49.0303</v>
      </c>
      <c r="C1782" t="str">
        <f t="shared" si="46"/>
        <v>49</v>
      </c>
    </row>
    <row r="1783" spans="1:3" x14ac:dyDescent="0.25">
      <c r="A1783" t="s">
        <v>1330</v>
      </c>
      <c r="B1783" t="str">
        <f>"49.0304"</f>
        <v>49.0304</v>
      </c>
      <c r="C1783" t="str">
        <f t="shared" si="46"/>
        <v>49</v>
      </c>
    </row>
    <row r="1784" spans="1:3" x14ac:dyDescent="0.25">
      <c r="A1784" t="s">
        <v>1331</v>
      </c>
      <c r="B1784" t="str">
        <f>"49.0309"</f>
        <v>49.0309</v>
      </c>
      <c r="C1784" t="str">
        <f t="shared" si="46"/>
        <v>49</v>
      </c>
    </row>
    <row r="1785" spans="1:3" x14ac:dyDescent="0.25">
      <c r="A1785" t="s">
        <v>1332</v>
      </c>
      <c r="B1785" t="str">
        <f>"49.0399"</f>
        <v>49.0399</v>
      </c>
      <c r="C1785" t="str">
        <f t="shared" si="46"/>
        <v>49</v>
      </c>
    </row>
    <row r="1786" spans="1:3" x14ac:dyDescent="0.25">
      <c r="A1786" t="s">
        <v>1333</v>
      </c>
      <c r="B1786" t="str">
        <f>"49.99"</f>
        <v>49.99</v>
      </c>
      <c r="C1786" t="str">
        <f t="shared" si="46"/>
        <v>49</v>
      </c>
    </row>
    <row r="1787" spans="1:3" x14ac:dyDescent="0.25">
      <c r="A1787" t="s">
        <v>1333</v>
      </c>
      <c r="B1787" t="str">
        <f>"49.9999"</f>
        <v>49.9999</v>
      </c>
      <c r="C1787" t="str">
        <f t="shared" si="46"/>
        <v>49</v>
      </c>
    </row>
    <row r="1788" spans="1:3" x14ac:dyDescent="0.25">
      <c r="A1788" t="s">
        <v>1334</v>
      </c>
      <c r="B1788" t="str">
        <f>"50"</f>
        <v>50</v>
      </c>
      <c r="C1788" t="str">
        <f>"50"</f>
        <v>50</v>
      </c>
    </row>
    <row r="1789" spans="1:3" x14ac:dyDescent="0.25">
      <c r="A1789" t="s">
        <v>1335</v>
      </c>
      <c r="B1789" t="str">
        <f>"50.01"</f>
        <v>50.01</v>
      </c>
      <c r="C1789" t="str">
        <f t="shared" ref="C1789:C1852" si="47">"50"</f>
        <v>50</v>
      </c>
    </row>
    <row r="1790" spans="1:3" x14ac:dyDescent="0.25">
      <c r="A1790" t="s">
        <v>1335</v>
      </c>
      <c r="B1790" t="str">
        <f>"50.0101"</f>
        <v>50.0101</v>
      </c>
      <c r="C1790" t="str">
        <f t="shared" si="47"/>
        <v>50</v>
      </c>
    </row>
    <row r="1791" spans="1:3" x14ac:dyDescent="0.25">
      <c r="A1791" t="s">
        <v>1336</v>
      </c>
      <c r="B1791" t="str">
        <f>"50.0102"</f>
        <v>50.0102</v>
      </c>
      <c r="C1791" t="str">
        <f t="shared" si="47"/>
        <v>50</v>
      </c>
    </row>
    <row r="1792" spans="1:3" x14ac:dyDescent="0.25">
      <c r="A1792" t="s">
        <v>1337</v>
      </c>
      <c r="B1792" t="str">
        <f>"50.02"</f>
        <v>50.02</v>
      </c>
      <c r="C1792" t="str">
        <f t="shared" si="47"/>
        <v>50</v>
      </c>
    </row>
    <row r="1793" spans="1:3" x14ac:dyDescent="0.25">
      <c r="A1793" t="s">
        <v>1337</v>
      </c>
      <c r="B1793" t="str">
        <f>"50.0201"</f>
        <v>50.0201</v>
      </c>
      <c r="C1793" t="str">
        <f t="shared" si="47"/>
        <v>50</v>
      </c>
    </row>
    <row r="1794" spans="1:3" x14ac:dyDescent="0.25">
      <c r="A1794" t="s">
        <v>1338</v>
      </c>
      <c r="B1794" t="str">
        <f>"50.03"</f>
        <v>50.03</v>
      </c>
      <c r="C1794" t="str">
        <f t="shared" si="47"/>
        <v>50</v>
      </c>
    </row>
    <row r="1795" spans="1:3" x14ac:dyDescent="0.25">
      <c r="A1795" t="s">
        <v>1339</v>
      </c>
      <c r="B1795" t="str">
        <f>"50.0301"</f>
        <v>50.0301</v>
      </c>
      <c r="C1795" t="str">
        <f t="shared" si="47"/>
        <v>50</v>
      </c>
    </row>
    <row r="1796" spans="1:3" x14ac:dyDescent="0.25">
      <c r="A1796" t="s">
        <v>1340</v>
      </c>
      <c r="B1796" t="str">
        <f>"50.0302"</f>
        <v>50.0302</v>
      </c>
      <c r="C1796" t="str">
        <f t="shared" si="47"/>
        <v>50</v>
      </c>
    </row>
    <row r="1797" spans="1:3" x14ac:dyDescent="0.25">
      <c r="A1797" t="s">
        <v>1341</v>
      </c>
      <c r="B1797" t="str">
        <f>"50.0399"</f>
        <v>50.0399</v>
      </c>
      <c r="C1797" t="str">
        <f t="shared" si="47"/>
        <v>50</v>
      </c>
    </row>
    <row r="1798" spans="1:3" x14ac:dyDescent="0.25">
      <c r="A1798" t="s">
        <v>1342</v>
      </c>
      <c r="B1798" t="str">
        <f>"50.04"</f>
        <v>50.04</v>
      </c>
      <c r="C1798" t="str">
        <f t="shared" si="47"/>
        <v>50</v>
      </c>
    </row>
    <row r="1799" spans="1:3" x14ac:dyDescent="0.25">
      <c r="A1799" t="s">
        <v>1343</v>
      </c>
      <c r="B1799" t="str">
        <f>"50.0401"</f>
        <v>50.0401</v>
      </c>
      <c r="C1799" t="str">
        <f t="shared" si="47"/>
        <v>50</v>
      </c>
    </row>
    <row r="1800" spans="1:3" x14ac:dyDescent="0.25">
      <c r="A1800" t="s">
        <v>1344</v>
      </c>
      <c r="B1800" t="str">
        <f>"50.0402"</f>
        <v>50.0402</v>
      </c>
      <c r="C1800" t="str">
        <f t="shared" si="47"/>
        <v>50</v>
      </c>
    </row>
    <row r="1801" spans="1:3" x14ac:dyDescent="0.25">
      <c r="A1801" t="s">
        <v>1345</v>
      </c>
      <c r="B1801" t="str">
        <f>"50.0404"</f>
        <v>50.0404</v>
      </c>
      <c r="C1801" t="str">
        <f t="shared" si="47"/>
        <v>50</v>
      </c>
    </row>
    <row r="1802" spans="1:3" x14ac:dyDescent="0.25">
      <c r="A1802" t="s">
        <v>1346</v>
      </c>
      <c r="B1802" t="str">
        <f>"50.0406"</f>
        <v>50.0406</v>
      </c>
      <c r="C1802" t="str">
        <f t="shared" si="47"/>
        <v>50</v>
      </c>
    </row>
    <row r="1803" spans="1:3" x14ac:dyDescent="0.25">
      <c r="A1803" t="s">
        <v>1347</v>
      </c>
      <c r="B1803" t="str">
        <f>"50.0407"</f>
        <v>50.0407</v>
      </c>
      <c r="C1803" t="str">
        <f t="shared" si="47"/>
        <v>50</v>
      </c>
    </row>
    <row r="1804" spans="1:3" x14ac:dyDescent="0.25">
      <c r="A1804" t="s">
        <v>1348</v>
      </c>
      <c r="B1804" t="str">
        <f>"50.0408"</f>
        <v>50.0408</v>
      </c>
      <c r="C1804" t="str">
        <f t="shared" si="47"/>
        <v>50</v>
      </c>
    </row>
    <row r="1805" spans="1:3" x14ac:dyDescent="0.25">
      <c r="A1805" t="s">
        <v>1349</v>
      </c>
      <c r="B1805" t="str">
        <f>"50.0409"</f>
        <v>50.0409</v>
      </c>
      <c r="C1805" t="str">
        <f t="shared" si="47"/>
        <v>50</v>
      </c>
    </row>
    <row r="1806" spans="1:3" x14ac:dyDescent="0.25">
      <c r="A1806" t="s">
        <v>1350</v>
      </c>
      <c r="B1806" t="str">
        <f>"50.0410"</f>
        <v>50.0410</v>
      </c>
      <c r="C1806" t="str">
        <f t="shared" si="47"/>
        <v>50</v>
      </c>
    </row>
    <row r="1807" spans="1:3" x14ac:dyDescent="0.25">
      <c r="A1807" t="s">
        <v>1351</v>
      </c>
      <c r="B1807" t="str">
        <f>"50.0411"</f>
        <v>50.0411</v>
      </c>
      <c r="C1807" t="str">
        <f t="shared" si="47"/>
        <v>50</v>
      </c>
    </row>
    <row r="1808" spans="1:3" x14ac:dyDescent="0.25">
      <c r="A1808" t="s">
        <v>1352</v>
      </c>
      <c r="B1808" t="str">
        <f>"50.0499"</f>
        <v>50.0499</v>
      </c>
      <c r="C1808" t="str">
        <f t="shared" si="47"/>
        <v>50</v>
      </c>
    </row>
    <row r="1809" spans="1:3" x14ac:dyDescent="0.25">
      <c r="A1809" t="s">
        <v>1353</v>
      </c>
      <c r="B1809" t="str">
        <f>"50.05"</f>
        <v>50.05</v>
      </c>
      <c r="C1809" t="str">
        <f t="shared" si="47"/>
        <v>50</v>
      </c>
    </row>
    <row r="1810" spans="1:3" x14ac:dyDescent="0.25">
      <c r="A1810" t="s">
        <v>1354</v>
      </c>
      <c r="B1810" t="str">
        <f>"50.0501"</f>
        <v>50.0501</v>
      </c>
      <c r="C1810" t="str">
        <f t="shared" si="47"/>
        <v>50</v>
      </c>
    </row>
    <row r="1811" spans="1:3" x14ac:dyDescent="0.25">
      <c r="A1811" t="s">
        <v>1355</v>
      </c>
      <c r="B1811" t="str">
        <f>"50.0502"</f>
        <v>50.0502</v>
      </c>
      <c r="C1811" t="str">
        <f t="shared" si="47"/>
        <v>50</v>
      </c>
    </row>
    <row r="1812" spans="1:3" x14ac:dyDescent="0.25">
      <c r="A1812" t="s">
        <v>1356</v>
      </c>
      <c r="B1812" t="str">
        <f>"50.0504"</f>
        <v>50.0504</v>
      </c>
      <c r="C1812" t="str">
        <f t="shared" si="47"/>
        <v>50</v>
      </c>
    </row>
    <row r="1813" spans="1:3" x14ac:dyDescent="0.25">
      <c r="A1813" t="s">
        <v>1357</v>
      </c>
      <c r="B1813" t="str">
        <f>"50.0505"</f>
        <v>50.0505</v>
      </c>
      <c r="C1813" t="str">
        <f t="shared" si="47"/>
        <v>50</v>
      </c>
    </row>
    <row r="1814" spans="1:3" x14ac:dyDescent="0.25">
      <c r="A1814" t="s">
        <v>1358</v>
      </c>
      <c r="B1814" t="str">
        <f>"50.0506"</f>
        <v>50.0506</v>
      </c>
      <c r="C1814" t="str">
        <f t="shared" si="47"/>
        <v>50</v>
      </c>
    </row>
    <row r="1815" spans="1:3" x14ac:dyDescent="0.25">
      <c r="A1815" t="s">
        <v>1359</v>
      </c>
      <c r="B1815" t="str">
        <f>"50.0507"</f>
        <v>50.0507</v>
      </c>
      <c r="C1815" t="str">
        <f t="shared" si="47"/>
        <v>50</v>
      </c>
    </row>
    <row r="1816" spans="1:3" x14ac:dyDescent="0.25">
      <c r="A1816" t="s">
        <v>1361</v>
      </c>
      <c r="B1816" t="str">
        <f>"50.0509"</f>
        <v>50.0509</v>
      </c>
      <c r="C1816" t="str">
        <f t="shared" si="47"/>
        <v>50</v>
      </c>
    </row>
    <row r="1817" spans="1:3" x14ac:dyDescent="0.25">
      <c r="A1817" t="s">
        <v>1362</v>
      </c>
      <c r="B1817" t="str">
        <f>"50.0510"</f>
        <v>50.0510</v>
      </c>
      <c r="C1817" t="str">
        <f t="shared" si="47"/>
        <v>50</v>
      </c>
    </row>
    <row r="1818" spans="1:3" x14ac:dyDescent="0.25">
      <c r="A1818" t="s">
        <v>2101</v>
      </c>
      <c r="B1818" t="str">
        <f>"50.0511"</f>
        <v>50.0511</v>
      </c>
      <c r="C1818" t="str">
        <f t="shared" si="47"/>
        <v>50</v>
      </c>
    </row>
    <row r="1819" spans="1:3" x14ac:dyDescent="0.25">
      <c r="A1819" t="s">
        <v>2102</v>
      </c>
      <c r="B1819" t="str">
        <f>"50.0512"</f>
        <v>50.0512</v>
      </c>
      <c r="C1819" t="str">
        <f t="shared" si="47"/>
        <v>50</v>
      </c>
    </row>
    <row r="1820" spans="1:3" x14ac:dyDescent="0.25">
      <c r="A1820" t="s">
        <v>1363</v>
      </c>
      <c r="B1820" t="str">
        <f>"50.0599"</f>
        <v>50.0599</v>
      </c>
      <c r="C1820" t="str">
        <f t="shared" si="47"/>
        <v>50</v>
      </c>
    </row>
    <row r="1821" spans="1:3" x14ac:dyDescent="0.25">
      <c r="A1821" t="s">
        <v>1364</v>
      </c>
      <c r="B1821" t="str">
        <f>"50.06"</f>
        <v>50.06</v>
      </c>
      <c r="C1821" t="str">
        <f t="shared" si="47"/>
        <v>50</v>
      </c>
    </row>
    <row r="1822" spans="1:3" x14ac:dyDescent="0.25">
      <c r="A1822" t="s">
        <v>2103</v>
      </c>
      <c r="B1822" t="str">
        <f>"50.0601"</f>
        <v>50.0601</v>
      </c>
      <c r="C1822" t="str">
        <f t="shared" si="47"/>
        <v>50</v>
      </c>
    </row>
    <row r="1823" spans="1:3" x14ac:dyDescent="0.25">
      <c r="A1823" t="s">
        <v>1365</v>
      </c>
      <c r="B1823" t="str">
        <f>"50.0602"</f>
        <v>50.0602</v>
      </c>
      <c r="C1823" t="str">
        <f t="shared" si="47"/>
        <v>50</v>
      </c>
    </row>
    <row r="1824" spans="1:3" x14ac:dyDescent="0.25">
      <c r="A1824" t="s">
        <v>1366</v>
      </c>
      <c r="B1824" t="str">
        <f>"50.0605"</f>
        <v>50.0605</v>
      </c>
      <c r="C1824" t="str">
        <f t="shared" si="47"/>
        <v>50</v>
      </c>
    </row>
    <row r="1825" spans="1:3" x14ac:dyDescent="0.25">
      <c r="A1825" t="s">
        <v>1367</v>
      </c>
      <c r="B1825" t="str">
        <f>"50.0607"</f>
        <v>50.0607</v>
      </c>
      <c r="C1825" t="str">
        <f t="shared" si="47"/>
        <v>50</v>
      </c>
    </row>
    <row r="1826" spans="1:3" x14ac:dyDescent="0.25">
      <c r="A1826" t="s">
        <v>1368</v>
      </c>
      <c r="B1826" t="str">
        <f>"50.0699"</f>
        <v>50.0699</v>
      </c>
      <c r="C1826" t="str">
        <f t="shared" si="47"/>
        <v>50</v>
      </c>
    </row>
    <row r="1827" spans="1:3" x14ac:dyDescent="0.25">
      <c r="A1827" t="s">
        <v>1369</v>
      </c>
      <c r="B1827" t="str">
        <f>"50.07"</f>
        <v>50.07</v>
      </c>
      <c r="C1827" t="str">
        <f t="shared" si="47"/>
        <v>50</v>
      </c>
    </row>
    <row r="1828" spans="1:3" x14ac:dyDescent="0.25">
      <c r="A1828" t="s">
        <v>1370</v>
      </c>
      <c r="B1828" t="str">
        <f>"50.0701"</f>
        <v>50.0701</v>
      </c>
      <c r="C1828" t="str">
        <f t="shared" si="47"/>
        <v>50</v>
      </c>
    </row>
    <row r="1829" spans="1:3" x14ac:dyDescent="0.25">
      <c r="A1829" t="s">
        <v>1371</v>
      </c>
      <c r="B1829" t="str">
        <f>"50.0702"</f>
        <v>50.0702</v>
      </c>
      <c r="C1829" t="str">
        <f t="shared" si="47"/>
        <v>50</v>
      </c>
    </row>
    <row r="1830" spans="1:3" x14ac:dyDescent="0.25">
      <c r="A1830" t="s">
        <v>1372</v>
      </c>
      <c r="B1830" t="str">
        <f>"50.0703"</f>
        <v>50.0703</v>
      </c>
      <c r="C1830" t="str">
        <f t="shared" si="47"/>
        <v>50</v>
      </c>
    </row>
    <row r="1831" spans="1:3" x14ac:dyDescent="0.25">
      <c r="A1831" t="s">
        <v>1373</v>
      </c>
      <c r="B1831" t="str">
        <f>"50.0705"</f>
        <v>50.0705</v>
      </c>
      <c r="C1831" t="str">
        <f t="shared" si="47"/>
        <v>50</v>
      </c>
    </row>
    <row r="1832" spans="1:3" x14ac:dyDescent="0.25">
      <c r="A1832" t="s">
        <v>1374</v>
      </c>
      <c r="B1832" t="str">
        <f>"50.0706"</f>
        <v>50.0706</v>
      </c>
      <c r="C1832" t="str">
        <f t="shared" si="47"/>
        <v>50</v>
      </c>
    </row>
    <row r="1833" spans="1:3" x14ac:dyDescent="0.25">
      <c r="A1833" t="s">
        <v>1375</v>
      </c>
      <c r="B1833" t="str">
        <f>"50.0708"</f>
        <v>50.0708</v>
      </c>
      <c r="C1833" t="str">
        <f t="shared" si="47"/>
        <v>50</v>
      </c>
    </row>
    <row r="1834" spans="1:3" x14ac:dyDescent="0.25">
      <c r="A1834" t="s">
        <v>1376</v>
      </c>
      <c r="B1834" t="str">
        <f>"50.0709"</f>
        <v>50.0709</v>
      </c>
      <c r="C1834" t="str">
        <f t="shared" si="47"/>
        <v>50</v>
      </c>
    </row>
    <row r="1835" spans="1:3" x14ac:dyDescent="0.25">
      <c r="A1835" t="s">
        <v>1377</v>
      </c>
      <c r="B1835" t="str">
        <f>"50.0710"</f>
        <v>50.0710</v>
      </c>
      <c r="C1835" t="str">
        <f t="shared" si="47"/>
        <v>50</v>
      </c>
    </row>
    <row r="1836" spans="1:3" x14ac:dyDescent="0.25">
      <c r="A1836" t="s">
        <v>1378</v>
      </c>
      <c r="B1836" t="str">
        <f>"50.0711"</f>
        <v>50.0711</v>
      </c>
      <c r="C1836" t="str">
        <f t="shared" si="47"/>
        <v>50</v>
      </c>
    </row>
    <row r="1837" spans="1:3" x14ac:dyDescent="0.25">
      <c r="A1837" t="s">
        <v>1379</v>
      </c>
      <c r="B1837" t="str">
        <f>"50.0712"</f>
        <v>50.0712</v>
      </c>
      <c r="C1837" t="str">
        <f t="shared" si="47"/>
        <v>50</v>
      </c>
    </row>
    <row r="1838" spans="1:3" x14ac:dyDescent="0.25">
      <c r="A1838" t="s">
        <v>2104</v>
      </c>
      <c r="B1838" t="str">
        <f>"50.0713"</f>
        <v>50.0713</v>
      </c>
      <c r="C1838" t="str">
        <f t="shared" si="47"/>
        <v>50</v>
      </c>
    </row>
    <row r="1839" spans="1:3" x14ac:dyDescent="0.25">
      <c r="A1839" t="s">
        <v>2105</v>
      </c>
      <c r="B1839" t="str">
        <f>"50.0714"</f>
        <v>50.0714</v>
      </c>
      <c r="C1839" t="str">
        <f t="shared" si="47"/>
        <v>50</v>
      </c>
    </row>
    <row r="1840" spans="1:3" x14ac:dyDescent="0.25">
      <c r="A1840" t="s">
        <v>1380</v>
      </c>
      <c r="B1840" t="str">
        <f>"50.0799"</f>
        <v>50.0799</v>
      </c>
      <c r="C1840" t="str">
        <f t="shared" si="47"/>
        <v>50</v>
      </c>
    </row>
    <row r="1841" spans="1:3" x14ac:dyDescent="0.25">
      <c r="A1841" t="s">
        <v>1006</v>
      </c>
      <c r="B1841" t="str">
        <f>"50.09"</f>
        <v>50.09</v>
      </c>
      <c r="C1841" t="str">
        <f t="shared" si="47"/>
        <v>50</v>
      </c>
    </row>
    <row r="1842" spans="1:3" x14ac:dyDescent="0.25">
      <c r="A1842" t="s">
        <v>1381</v>
      </c>
      <c r="B1842" t="str">
        <f>"50.0901"</f>
        <v>50.0901</v>
      </c>
      <c r="C1842" t="str">
        <f t="shared" si="47"/>
        <v>50</v>
      </c>
    </row>
    <row r="1843" spans="1:3" x14ac:dyDescent="0.25">
      <c r="A1843" t="s">
        <v>1382</v>
      </c>
      <c r="B1843" t="str">
        <f>"50.0902"</f>
        <v>50.0902</v>
      </c>
      <c r="C1843" t="str">
        <f t="shared" si="47"/>
        <v>50</v>
      </c>
    </row>
    <row r="1844" spans="1:3" x14ac:dyDescent="0.25">
      <c r="A1844" t="s">
        <v>1383</v>
      </c>
      <c r="B1844" t="str">
        <f>"50.0903"</f>
        <v>50.0903</v>
      </c>
      <c r="C1844" t="str">
        <f t="shared" si="47"/>
        <v>50</v>
      </c>
    </row>
    <row r="1845" spans="1:3" x14ac:dyDescent="0.25">
      <c r="A1845" t="s">
        <v>1384</v>
      </c>
      <c r="B1845" t="str">
        <f>"50.0904"</f>
        <v>50.0904</v>
      </c>
      <c r="C1845" t="str">
        <f t="shared" si="47"/>
        <v>50</v>
      </c>
    </row>
    <row r="1846" spans="1:3" x14ac:dyDescent="0.25">
      <c r="A1846" t="s">
        <v>1385</v>
      </c>
      <c r="B1846" t="str">
        <f>"50.0905"</f>
        <v>50.0905</v>
      </c>
      <c r="C1846" t="str">
        <f t="shared" si="47"/>
        <v>50</v>
      </c>
    </row>
    <row r="1847" spans="1:3" x14ac:dyDescent="0.25">
      <c r="A1847" t="s">
        <v>1386</v>
      </c>
      <c r="B1847" t="str">
        <f>"50.0906"</f>
        <v>50.0906</v>
      </c>
      <c r="C1847" t="str">
        <f t="shared" si="47"/>
        <v>50</v>
      </c>
    </row>
    <row r="1848" spans="1:3" x14ac:dyDescent="0.25">
      <c r="A1848" t="s">
        <v>1387</v>
      </c>
      <c r="B1848" t="str">
        <f>"50.0907"</f>
        <v>50.0907</v>
      </c>
      <c r="C1848" t="str">
        <f t="shared" si="47"/>
        <v>50</v>
      </c>
    </row>
    <row r="1849" spans="1:3" x14ac:dyDescent="0.25">
      <c r="A1849" t="s">
        <v>1388</v>
      </c>
      <c r="B1849" t="str">
        <f>"50.0908"</f>
        <v>50.0908</v>
      </c>
      <c r="C1849" t="str">
        <f t="shared" si="47"/>
        <v>50</v>
      </c>
    </row>
    <row r="1850" spans="1:3" x14ac:dyDescent="0.25">
      <c r="A1850" t="s">
        <v>1389</v>
      </c>
      <c r="B1850" t="str">
        <f>"50.0910"</f>
        <v>50.0910</v>
      </c>
      <c r="C1850" t="str">
        <f t="shared" si="47"/>
        <v>50</v>
      </c>
    </row>
    <row r="1851" spans="1:3" x14ac:dyDescent="0.25">
      <c r="A1851" t="s">
        <v>1390</v>
      </c>
      <c r="B1851" t="str">
        <f>"50.0911"</f>
        <v>50.0911</v>
      </c>
      <c r="C1851" t="str">
        <f t="shared" si="47"/>
        <v>50</v>
      </c>
    </row>
    <row r="1852" spans="1:3" x14ac:dyDescent="0.25">
      <c r="A1852" t="s">
        <v>1391</v>
      </c>
      <c r="B1852" t="str">
        <f>"50.0912"</f>
        <v>50.0912</v>
      </c>
      <c r="C1852" t="str">
        <f t="shared" si="47"/>
        <v>50</v>
      </c>
    </row>
    <row r="1853" spans="1:3" x14ac:dyDescent="0.25">
      <c r="A1853" t="s">
        <v>1392</v>
      </c>
      <c r="B1853" t="str">
        <f>"50.0913"</f>
        <v>50.0913</v>
      </c>
      <c r="C1853" t="str">
        <f t="shared" ref="C1853:C1868" si="48">"50"</f>
        <v>50</v>
      </c>
    </row>
    <row r="1854" spans="1:3" x14ac:dyDescent="0.25">
      <c r="A1854" t="s">
        <v>1393</v>
      </c>
      <c r="B1854" t="str">
        <f>"50.0914"</f>
        <v>50.0914</v>
      </c>
      <c r="C1854" t="str">
        <f t="shared" si="48"/>
        <v>50</v>
      </c>
    </row>
    <row r="1855" spans="1:3" x14ac:dyDescent="0.25">
      <c r="A1855" t="s">
        <v>1394</v>
      </c>
      <c r="B1855" t="str">
        <f>"50.0915"</f>
        <v>50.0915</v>
      </c>
      <c r="C1855" t="str">
        <f t="shared" si="48"/>
        <v>50</v>
      </c>
    </row>
    <row r="1856" spans="1:3" x14ac:dyDescent="0.25">
      <c r="A1856" t="s">
        <v>1395</v>
      </c>
      <c r="B1856" t="str">
        <f>"50.0916"</f>
        <v>50.0916</v>
      </c>
      <c r="C1856" t="str">
        <f t="shared" si="48"/>
        <v>50</v>
      </c>
    </row>
    <row r="1857" spans="1:3" x14ac:dyDescent="0.25">
      <c r="A1857" t="s">
        <v>2106</v>
      </c>
      <c r="B1857" t="str">
        <f>"50.0917"</f>
        <v>50.0917</v>
      </c>
      <c r="C1857" t="str">
        <f t="shared" si="48"/>
        <v>50</v>
      </c>
    </row>
    <row r="1858" spans="1:3" x14ac:dyDescent="0.25">
      <c r="A1858" t="s">
        <v>1396</v>
      </c>
      <c r="B1858" t="str">
        <f>"50.0999"</f>
        <v>50.0999</v>
      </c>
      <c r="C1858" t="str">
        <f t="shared" si="48"/>
        <v>50</v>
      </c>
    </row>
    <row r="1859" spans="1:3" x14ac:dyDescent="0.25">
      <c r="A1859" t="s">
        <v>2107</v>
      </c>
      <c r="B1859" t="str">
        <f>"50.10"</f>
        <v>50.10</v>
      </c>
      <c r="C1859" t="str">
        <f t="shared" si="48"/>
        <v>50</v>
      </c>
    </row>
    <row r="1860" spans="1:3" x14ac:dyDescent="0.25">
      <c r="A1860" t="s">
        <v>2108</v>
      </c>
      <c r="B1860" t="str">
        <f>"50.1001"</f>
        <v>50.1001</v>
      </c>
      <c r="C1860" t="str">
        <f t="shared" si="48"/>
        <v>50</v>
      </c>
    </row>
    <row r="1861" spans="1:3" x14ac:dyDescent="0.25">
      <c r="A1861" t="s">
        <v>1397</v>
      </c>
      <c r="B1861" t="str">
        <f>"50.1002"</f>
        <v>50.1002</v>
      </c>
      <c r="C1861" t="str">
        <f t="shared" si="48"/>
        <v>50</v>
      </c>
    </row>
    <row r="1862" spans="1:3" x14ac:dyDescent="0.25">
      <c r="A1862" t="s">
        <v>1398</v>
      </c>
      <c r="B1862" t="str">
        <f>"50.1003"</f>
        <v>50.1003</v>
      </c>
      <c r="C1862" t="str">
        <f t="shared" si="48"/>
        <v>50</v>
      </c>
    </row>
    <row r="1863" spans="1:3" x14ac:dyDescent="0.25">
      <c r="A1863" t="s">
        <v>1360</v>
      </c>
      <c r="B1863" t="str">
        <f>"50.1004"</f>
        <v>50.1004</v>
      </c>
      <c r="C1863" t="str">
        <f t="shared" si="48"/>
        <v>50</v>
      </c>
    </row>
    <row r="1864" spans="1:3" x14ac:dyDescent="0.25">
      <c r="A1864" t="s">
        <v>1399</v>
      </c>
      <c r="B1864" t="str">
        <f>"50.1099"</f>
        <v>50.1099</v>
      </c>
      <c r="C1864" t="str">
        <f t="shared" si="48"/>
        <v>50</v>
      </c>
    </row>
    <row r="1865" spans="1:3" x14ac:dyDescent="0.25">
      <c r="A1865" t="s">
        <v>2109</v>
      </c>
      <c r="B1865" t="str">
        <f>"50.11"</f>
        <v>50.11</v>
      </c>
      <c r="C1865" t="str">
        <f t="shared" si="48"/>
        <v>50</v>
      </c>
    </row>
    <row r="1866" spans="1:3" x14ac:dyDescent="0.25">
      <c r="A1866" t="s">
        <v>2109</v>
      </c>
      <c r="B1866" t="str">
        <f>"50.1101"</f>
        <v>50.1101</v>
      </c>
      <c r="C1866" t="str">
        <f t="shared" si="48"/>
        <v>50</v>
      </c>
    </row>
    <row r="1867" spans="1:3" x14ac:dyDescent="0.25">
      <c r="A1867" t="s">
        <v>1400</v>
      </c>
      <c r="B1867" t="str">
        <f>"50.99"</f>
        <v>50.99</v>
      </c>
      <c r="C1867" t="str">
        <f t="shared" si="48"/>
        <v>50</v>
      </c>
    </row>
    <row r="1868" spans="1:3" x14ac:dyDescent="0.25">
      <c r="A1868" t="s">
        <v>1400</v>
      </c>
      <c r="B1868" t="str">
        <f>"50.9999"</f>
        <v>50.9999</v>
      </c>
      <c r="C1868" t="str">
        <f t="shared" si="48"/>
        <v>50</v>
      </c>
    </row>
    <row r="1869" spans="1:3" x14ac:dyDescent="0.25">
      <c r="A1869" t="s">
        <v>1401</v>
      </c>
      <c r="B1869" t="str">
        <f>"51"</f>
        <v>51</v>
      </c>
      <c r="C1869" t="str">
        <f>"51"</f>
        <v>51</v>
      </c>
    </row>
    <row r="1870" spans="1:3" x14ac:dyDescent="0.25">
      <c r="A1870" t="s">
        <v>1402</v>
      </c>
      <c r="B1870" t="str">
        <f>"51.00"</f>
        <v>51.00</v>
      </c>
      <c r="C1870" t="str">
        <f t="shared" ref="C1870:C1933" si="49">"51"</f>
        <v>51</v>
      </c>
    </row>
    <row r="1871" spans="1:3" x14ac:dyDescent="0.25">
      <c r="A1871" t="s">
        <v>1402</v>
      </c>
      <c r="B1871" t="str">
        <f>"51.0000"</f>
        <v>51.0000</v>
      </c>
      <c r="C1871" t="str">
        <f t="shared" si="49"/>
        <v>51</v>
      </c>
    </row>
    <row r="1872" spans="1:3" x14ac:dyDescent="0.25">
      <c r="A1872" t="s">
        <v>1403</v>
      </c>
      <c r="B1872" t="str">
        <f>"51.0001"</f>
        <v>51.0001</v>
      </c>
      <c r="C1872" t="str">
        <f t="shared" si="49"/>
        <v>51</v>
      </c>
    </row>
    <row r="1873" spans="1:3" x14ac:dyDescent="0.25">
      <c r="A1873" t="s">
        <v>1404</v>
      </c>
      <c r="B1873" t="str">
        <f>"51.01"</f>
        <v>51.01</v>
      </c>
      <c r="C1873" t="str">
        <f t="shared" si="49"/>
        <v>51</v>
      </c>
    </row>
    <row r="1874" spans="1:3" x14ac:dyDescent="0.25">
      <c r="A1874" t="s">
        <v>1404</v>
      </c>
      <c r="B1874" t="str">
        <f>"51.0101"</f>
        <v>51.0101</v>
      </c>
      <c r="C1874" t="str">
        <f t="shared" si="49"/>
        <v>51</v>
      </c>
    </row>
    <row r="1875" spans="1:3" x14ac:dyDescent="0.25">
      <c r="A1875" t="s">
        <v>1405</v>
      </c>
      <c r="B1875" t="str">
        <f>"51.02"</f>
        <v>51.02</v>
      </c>
      <c r="C1875" t="str">
        <f t="shared" si="49"/>
        <v>51</v>
      </c>
    </row>
    <row r="1876" spans="1:3" x14ac:dyDescent="0.25">
      <c r="A1876" t="s">
        <v>1406</v>
      </c>
      <c r="B1876" t="str">
        <f>"51.0201"</f>
        <v>51.0201</v>
      </c>
      <c r="C1876" t="str">
        <f t="shared" si="49"/>
        <v>51</v>
      </c>
    </row>
    <row r="1877" spans="1:3" x14ac:dyDescent="0.25">
      <c r="A1877" t="s">
        <v>1407</v>
      </c>
      <c r="B1877" t="str">
        <f>"51.0202"</f>
        <v>51.0202</v>
      </c>
      <c r="C1877" t="str">
        <f t="shared" si="49"/>
        <v>51</v>
      </c>
    </row>
    <row r="1878" spans="1:3" x14ac:dyDescent="0.25">
      <c r="A1878" t="s">
        <v>1408</v>
      </c>
      <c r="B1878" t="str">
        <f>"51.0203"</f>
        <v>51.0203</v>
      </c>
      <c r="C1878" t="str">
        <f t="shared" si="49"/>
        <v>51</v>
      </c>
    </row>
    <row r="1879" spans="1:3" x14ac:dyDescent="0.25">
      <c r="A1879" t="s">
        <v>1409</v>
      </c>
      <c r="B1879" t="str">
        <f>"51.0204"</f>
        <v>51.0204</v>
      </c>
      <c r="C1879" t="str">
        <f t="shared" si="49"/>
        <v>51</v>
      </c>
    </row>
    <row r="1880" spans="1:3" x14ac:dyDescent="0.25">
      <c r="A1880" t="s">
        <v>1410</v>
      </c>
      <c r="B1880" t="str">
        <f>"51.0299"</f>
        <v>51.0299</v>
      </c>
      <c r="C1880" t="str">
        <f t="shared" si="49"/>
        <v>51</v>
      </c>
    </row>
    <row r="1881" spans="1:3" x14ac:dyDescent="0.25">
      <c r="A1881" t="s">
        <v>1411</v>
      </c>
      <c r="B1881" t="str">
        <f>"51.04"</f>
        <v>51.04</v>
      </c>
      <c r="C1881" t="str">
        <f t="shared" si="49"/>
        <v>51</v>
      </c>
    </row>
    <row r="1882" spans="1:3" x14ac:dyDescent="0.25">
      <c r="A1882" t="s">
        <v>1411</v>
      </c>
      <c r="B1882" t="str">
        <f>"51.0401"</f>
        <v>51.0401</v>
      </c>
      <c r="C1882" t="str">
        <f t="shared" si="49"/>
        <v>51</v>
      </c>
    </row>
    <row r="1883" spans="1:3" x14ac:dyDescent="0.25">
      <c r="A1883" t="s">
        <v>1412</v>
      </c>
      <c r="B1883" t="str">
        <f>"51.05"</f>
        <v>51.05</v>
      </c>
      <c r="C1883" t="str">
        <f t="shared" si="49"/>
        <v>51</v>
      </c>
    </row>
    <row r="1884" spans="1:3" x14ac:dyDescent="0.25">
      <c r="A1884" t="s">
        <v>1413</v>
      </c>
      <c r="B1884" t="str">
        <f>"51.0501"</f>
        <v>51.0501</v>
      </c>
      <c r="C1884" t="str">
        <f t="shared" si="49"/>
        <v>51</v>
      </c>
    </row>
    <row r="1885" spans="1:3" x14ac:dyDescent="0.25">
      <c r="A1885" t="s">
        <v>1414</v>
      </c>
      <c r="B1885" t="str">
        <f>"51.0502"</f>
        <v>51.0502</v>
      </c>
      <c r="C1885" t="str">
        <f t="shared" si="49"/>
        <v>51</v>
      </c>
    </row>
    <row r="1886" spans="1:3" x14ac:dyDescent="0.25">
      <c r="A1886" t="s">
        <v>1415</v>
      </c>
      <c r="B1886" t="str">
        <f>"51.0503"</f>
        <v>51.0503</v>
      </c>
      <c r="C1886" t="str">
        <f t="shared" si="49"/>
        <v>51</v>
      </c>
    </row>
    <row r="1887" spans="1:3" x14ac:dyDescent="0.25">
      <c r="A1887" t="s">
        <v>1416</v>
      </c>
      <c r="B1887" t="str">
        <f>"51.0504"</f>
        <v>51.0504</v>
      </c>
      <c r="C1887" t="str">
        <f t="shared" si="49"/>
        <v>51</v>
      </c>
    </row>
    <row r="1888" spans="1:3" x14ac:dyDescent="0.25">
      <c r="A1888" t="s">
        <v>1417</v>
      </c>
      <c r="B1888" t="str">
        <f>"51.0505"</f>
        <v>51.0505</v>
      </c>
      <c r="C1888" t="str">
        <f t="shared" si="49"/>
        <v>51</v>
      </c>
    </row>
    <row r="1889" spans="1:3" x14ac:dyDescent="0.25">
      <c r="A1889" t="s">
        <v>1418</v>
      </c>
      <c r="B1889" t="str">
        <f>"51.0506"</f>
        <v>51.0506</v>
      </c>
      <c r="C1889" t="str">
        <f t="shared" si="49"/>
        <v>51</v>
      </c>
    </row>
    <row r="1890" spans="1:3" x14ac:dyDescent="0.25">
      <c r="A1890" t="s">
        <v>1419</v>
      </c>
      <c r="B1890" t="str">
        <f>"51.0507"</f>
        <v>51.0507</v>
      </c>
      <c r="C1890" t="str">
        <f t="shared" si="49"/>
        <v>51</v>
      </c>
    </row>
    <row r="1891" spans="1:3" x14ac:dyDescent="0.25">
      <c r="A1891" t="s">
        <v>1420</v>
      </c>
      <c r="B1891" t="str">
        <f>"51.0508"</f>
        <v>51.0508</v>
      </c>
      <c r="C1891" t="str">
        <f t="shared" si="49"/>
        <v>51</v>
      </c>
    </row>
    <row r="1892" spans="1:3" x14ac:dyDescent="0.25">
      <c r="A1892" t="s">
        <v>1421</v>
      </c>
      <c r="B1892" t="str">
        <f>"51.0509"</f>
        <v>51.0509</v>
      </c>
      <c r="C1892" t="str">
        <f t="shared" si="49"/>
        <v>51</v>
      </c>
    </row>
    <row r="1893" spans="1:3" x14ac:dyDescent="0.25">
      <c r="A1893" t="s">
        <v>1422</v>
      </c>
      <c r="B1893" t="str">
        <f>"51.0510"</f>
        <v>51.0510</v>
      </c>
      <c r="C1893" t="str">
        <f t="shared" si="49"/>
        <v>51</v>
      </c>
    </row>
    <row r="1894" spans="1:3" x14ac:dyDescent="0.25">
      <c r="A1894" t="s">
        <v>1423</v>
      </c>
      <c r="B1894" t="str">
        <f>"51.0511"</f>
        <v>51.0511</v>
      </c>
      <c r="C1894" t="str">
        <f t="shared" si="49"/>
        <v>51</v>
      </c>
    </row>
    <row r="1895" spans="1:3" x14ac:dyDescent="0.25">
      <c r="A1895" t="s">
        <v>2110</v>
      </c>
      <c r="B1895" t="str">
        <f>"51.0512"</f>
        <v>51.0512</v>
      </c>
      <c r="C1895" t="str">
        <f t="shared" si="49"/>
        <v>51</v>
      </c>
    </row>
    <row r="1896" spans="1:3" x14ac:dyDescent="0.25">
      <c r="A1896" t="s">
        <v>2111</v>
      </c>
      <c r="B1896" t="str">
        <f>"51.0513"</f>
        <v>51.0513</v>
      </c>
      <c r="C1896" t="str">
        <f t="shared" si="49"/>
        <v>51</v>
      </c>
    </row>
    <row r="1897" spans="1:3" x14ac:dyDescent="0.25">
      <c r="A1897" t="s">
        <v>2112</v>
      </c>
      <c r="B1897" t="str">
        <f>"51.0514"</f>
        <v>51.0514</v>
      </c>
      <c r="C1897" t="str">
        <f t="shared" si="49"/>
        <v>51</v>
      </c>
    </row>
    <row r="1898" spans="1:3" x14ac:dyDescent="0.25">
      <c r="A1898" t="s">
        <v>1424</v>
      </c>
      <c r="B1898" t="str">
        <f>"51.0599"</f>
        <v>51.0599</v>
      </c>
      <c r="C1898" t="str">
        <f t="shared" si="49"/>
        <v>51</v>
      </c>
    </row>
    <row r="1899" spans="1:3" x14ac:dyDescent="0.25">
      <c r="A1899" t="s">
        <v>1425</v>
      </c>
      <c r="B1899" t="str">
        <f>"51.06"</f>
        <v>51.06</v>
      </c>
      <c r="C1899" t="str">
        <f t="shared" si="49"/>
        <v>51</v>
      </c>
    </row>
    <row r="1900" spans="1:3" x14ac:dyDescent="0.25">
      <c r="A1900" t="s">
        <v>1426</v>
      </c>
      <c r="B1900" t="str">
        <f>"51.0601"</f>
        <v>51.0601</v>
      </c>
      <c r="C1900" t="str">
        <f t="shared" si="49"/>
        <v>51</v>
      </c>
    </row>
    <row r="1901" spans="1:3" x14ac:dyDescent="0.25">
      <c r="A1901" t="s">
        <v>1427</v>
      </c>
      <c r="B1901" t="str">
        <f>"51.0602"</f>
        <v>51.0602</v>
      </c>
      <c r="C1901" t="str">
        <f t="shared" si="49"/>
        <v>51</v>
      </c>
    </row>
    <row r="1902" spans="1:3" x14ac:dyDescent="0.25">
      <c r="A1902" t="s">
        <v>1428</v>
      </c>
      <c r="B1902" t="str">
        <f>"51.0603"</f>
        <v>51.0603</v>
      </c>
      <c r="C1902" t="str">
        <f t="shared" si="49"/>
        <v>51</v>
      </c>
    </row>
    <row r="1903" spans="1:3" x14ac:dyDescent="0.25">
      <c r="A1903" t="s">
        <v>1429</v>
      </c>
      <c r="B1903" t="str">
        <f>"51.0699"</f>
        <v>51.0699</v>
      </c>
      <c r="C1903" t="str">
        <f t="shared" si="49"/>
        <v>51</v>
      </c>
    </row>
    <row r="1904" spans="1:3" x14ac:dyDescent="0.25">
      <c r="A1904" t="s">
        <v>1430</v>
      </c>
      <c r="B1904" t="str">
        <f>"51.07"</f>
        <v>51.07</v>
      </c>
      <c r="C1904" t="str">
        <f t="shared" si="49"/>
        <v>51</v>
      </c>
    </row>
    <row r="1905" spans="1:3" x14ac:dyDescent="0.25">
      <c r="A1905" t="s">
        <v>1431</v>
      </c>
      <c r="B1905" t="str">
        <f>"51.0701"</f>
        <v>51.0701</v>
      </c>
      <c r="C1905" t="str">
        <f t="shared" si="49"/>
        <v>51</v>
      </c>
    </row>
    <row r="1906" spans="1:3" x14ac:dyDescent="0.25">
      <c r="A1906" t="s">
        <v>1432</v>
      </c>
      <c r="B1906" t="str">
        <f>"51.0702"</f>
        <v>51.0702</v>
      </c>
      <c r="C1906" t="str">
        <f t="shared" si="49"/>
        <v>51</v>
      </c>
    </row>
    <row r="1907" spans="1:3" x14ac:dyDescent="0.25">
      <c r="A1907" t="s">
        <v>1433</v>
      </c>
      <c r="B1907" t="str">
        <f>"51.0703"</f>
        <v>51.0703</v>
      </c>
      <c r="C1907" t="str">
        <f t="shared" si="49"/>
        <v>51</v>
      </c>
    </row>
    <row r="1908" spans="1:3" x14ac:dyDescent="0.25">
      <c r="A1908" t="s">
        <v>1434</v>
      </c>
      <c r="B1908" t="str">
        <f>"51.0704"</f>
        <v>51.0704</v>
      </c>
      <c r="C1908" t="str">
        <f t="shared" si="49"/>
        <v>51</v>
      </c>
    </row>
    <row r="1909" spans="1:3" x14ac:dyDescent="0.25">
      <c r="A1909" t="s">
        <v>1435</v>
      </c>
      <c r="B1909" t="str">
        <f>"51.0705"</f>
        <v>51.0705</v>
      </c>
      <c r="C1909" t="str">
        <f t="shared" si="49"/>
        <v>51</v>
      </c>
    </row>
    <row r="1910" spans="1:3" x14ac:dyDescent="0.25">
      <c r="A1910" t="s">
        <v>1436</v>
      </c>
      <c r="B1910" t="str">
        <f>"51.0706"</f>
        <v>51.0706</v>
      </c>
      <c r="C1910" t="str">
        <f t="shared" si="49"/>
        <v>51</v>
      </c>
    </row>
    <row r="1911" spans="1:3" x14ac:dyDescent="0.25">
      <c r="A1911" t="s">
        <v>1437</v>
      </c>
      <c r="B1911" t="str">
        <f>"51.0707"</f>
        <v>51.0707</v>
      </c>
      <c r="C1911" t="str">
        <f t="shared" si="49"/>
        <v>51</v>
      </c>
    </row>
    <row r="1912" spans="1:3" x14ac:dyDescent="0.25">
      <c r="A1912" t="s">
        <v>1438</v>
      </c>
      <c r="B1912" t="str">
        <f>"51.0708"</f>
        <v>51.0708</v>
      </c>
      <c r="C1912" t="str">
        <f t="shared" si="49"/>
        <v>51</v>
      </c>
    </row>
    <row r="1913" spans="1:3" x14ac:dyDescent="0.25">
      <c r="A1913" t="s">
        <v>1439</v>
      </c>
      <c r="B1913" t="str">
        <f>"51.0709"</f>
        <v>51.0709</v>
      </c>
      <c r="C1913" t="str">
        <f t="shared" si="49"/>
        <v>51</v>
      </c>
    </row>
    <row r="1914" spans="1:3" x14ac:dyDescent="0.25">
      <c r="A1914" t="s">
        <v>1440</v>
      </c>
      <c r="B1914" t="str">
        <f>"51.0710"</f>
        <v>51.0710</v>
      </c>
      <c r="C1914" t="str">
        <f t="shared" si="49"/>
        <v>51</v>
      </c>
    </row>
    <row r="1915" spans="1:3" x14ac:dyDescent="0.25">
      <c r="A1915" t="s">
        <v>1441</v>
      </c>
      <c r="B1915" t="str">
        <f>"51.0711"</f>
        <v>51.0711</v>
      </c>
      <c r="C1915" t="str">
        <f t="shared" si="49"/>
        <v>51</v>
      </c>
    </row>
    <row r="1916" spans="1:3" x14ac:dyDescent="0.25">
      <c r="A1916" t="s">
        <v>1442</v>
      </c>
      <c r="B1916" t="str">
        <f>"51.0712"</f>
        <v>51.0712</v>
      </c>
      <c r="C1916" t="str">
        <f t="shared" si="49"/>
        <v>51</v>
      </c>
    </row>
    <row r="1917" spans="1:3" x14ac:dyDescent="0.25">
      <c r="A1917" t="s">
        <v>1443</v>
      </c>
      <c r="B1917" t="str">
        <f>"51.0713"</f>
        <v>51.0713</v>
      </c>
      <c r="C1917" t="str">
        <f t="shared" si="49"/>
        <v>51</v>
      </c>
    </row>
    <row r="1918" spans="1:3" x14ac:dyDescent="0.25">
      <c r="A1918" t="s">
        <v>1444</v>
      </c>
      <c r="B1918" t="str">
        <f>"51.0714"</f>
        <v>51.0714</v>
      </c>
      <c r="C1918" t="str">
        <f t="shared" si="49"/>
        <v>51</v>
      </c>
    </row>
    <row r="1919" spans="1:3" x14ac:dyDescent="0.25">
      <c r="A1919" t="s">
        <v>1445</v>
      </c>
      <c r="B1919" t="str">
        <f>"51.0715"</f>
        <v>51.0715</v>
      </c>
      <c r="C1919" t="str">
        <f t="shared" si="49"/>
        <v>51</v>
      </c>
    </row>
    <row r="1920" spans="1:3" x14ac:dyDescent="0.25">
      <c r="A1920" t="s">
        <v>1446</v>
      </c>
      <c r="B1920" t="str">
        <f>"51.0716"</f>
        <v>51.0716</v>
      </c>
      <c r="C1920" t="str">
        <f t="shared" si="49"/>
        <v>51</v>
      </c>
    </row>
    <row r="1921" spans="1:3" x14ac:dyDescent="0.25">
      <c r="A1921" t="s">
        <v>1447</v>
      </c>
      <c r="B1921" t="str">
        <f>"51.0717"</f>
        <v>51.0717</v>
      </c>
      <c r="C1921" t="str">
        <f t="shared" si="49"/>
        <v>51</v>
      </c>
    </row>
    <row r="1922" spans="1:3" x14ac:dyDescent="0.25">
      <c r="A1922" t="s">
        <v>1448</v>
      </c>
      <c r="B1922" t="str">
        <f>"51.0718"</f>
        <v>51.0718</v>
      </c>
      <c r="C1922" t="str">
        <f t="shared" si="49"/>
        <v>51</v>
      </c>
    </row>
    <row r="1923" spans="1:3" x14ac:dyDescent="0.25">
      <c r="A1923" t="s">
        <v>1449</v>
      </c>
      <c r="B1923" t="str">
        <f>"51.0719"</f>
        <v>51.0719</v>
      </c>
      <c r="C1923" t="str">
        <f t="shared" si="49"/>
        <v>51</v>
      </c>
    </row>
    <row r="1924" spans="1:3" x14ac:dyDescent="0.25">
      <c r="A1924" t="s">
        <v>2113</v>
      </c>
      <c r="B1924" t="str">
        <f>"51.0720"</f>
        <v>51.0720</v>
      </c>
      <c r="C1924" t="str">
        <f t="shared" si="49"/>
        <v>51</v>
      </c>
    </row>
    <row r="1925" spans="1:3" x14ac:dyDescent="0.25">
      <c r="A1925" t="s">
        <v>2114</v>
      </c>
      <c r="B1925" t="str">
        <f>"51.0721"</f>
        <v>51.0721</v>
      </c>
      <c r="C1925" t="str">
        <f t="shared" si="49"/>
        <v>51</v>
      </c>
    </row>
    <row r="1926" spans="1:3" x14ac:dyDescent="0.25">
      <c r="A1926" t="s">
        <v>2115</v>
      </c>
      <c r="B1926" t="str">
        <f>"51.0722"</f>
        <v>51.0722</v>
      </c>
      <c r="C1926" t="str">
        <f t="shared" si="49"/>
        <v>51</v>
      </c>
    </row>
    <row r="1927" spans="1:3" x14ac:dyDescent="0.25">
      <c r="A1927" t="s">
        <v>2116</v>
      </c>
      <c r="B1927" t="str">
        <f>"51.0723"</f>
        <v>51.0723</v>
      </c>
      <c r="C1927" t="str">
        <f t="shared" si="49"/>
        <v>51</v>
      </c>
    </row>
    <row r="1928" spans="1:3" x14ac:dyDescent="0.25">
      <c r="A1928" t="s">
        <v>1450</v>
      </c>
      <c r="B1928" t="str">
        <f>"51.0799"</f>
        <v>51.0799</v>
      </c>
      <c r="C1928" t="str">
        <f t="shared" si="49"/>
        <v>51</v>
      </c>
    </row>
    <row r="1929" spans="1:3" x14ac:dyDescent="0.25">
      <c r="A1929" t="s">
        <v>1451</v>
      </c>
      <c r="B1929" t="str">
        <f>"51.08"</f>
        <v>51.08</v>
      </c>
      <c r="C1929" t="str">
        <f t="shared" si="49"/>
        <v>51</v>
      </c>
    </row>
    <row r="1930" spans="1:3" x14ac:dyDescent="0.25">
      <c r="A1930" t="s">
        <v>1452</v>
      </c>
      <c r="B1930" t="str">
        <f>"51.0801"</f>
        <v>51.0801</v>
      </c>
      <c r="C1930" t="str">
        <f t="shared" si="49"/>
        <v>51</v>
      </c>
    </row>
    <row r="1931" spans="1:3" x14ac:dyDescent="0.25">
      <c r="A1931" t="s">
        <v>1453</v>
      </c>
      <c r="B1931" t="str">
        <f>"51.0802"</f>
        <v>51.0802</v>
      </c>
      <c r="C1931" t="str">
        <f t="shared" si="49"/>
        <v>51</v>
      </c>
    </row>
    <row r="1932" spans="1:3" x14ac:dyDescent="0.25">
      <c r="A1932" t="s">
        <v>1454</v>
      </c>
      <c r="B1932" t="str">
        <f>"51.0803"</f>
        <v>51.0803</v>
      </c>
      <c r="C1932" t="str">
        <f t="shared" si="49"/>
        <v>51</v>
      </c>
    </row>
    <row r="1933" spans="1:3" x14ac:dyDescent="0.25">
      <c r="A1933" t="s">
        <v>1455</v>
      </c>
      <c r="B1933" t="str">
        <f>"51.0805"</f>
        <v>51.0805</v>
      </c>
      <c r="C1933" t="str">
        <f t="shared" si="49"/>
        <v>51</v>
      </c>
    </row>
    <row r="1934" spans="1:3" x14ac:dyDescent="0.25">
      <c r="A1934" t="s">
        <v>2117</v>
      </c>
      <c r="B1934" t="str">
        <f>"51.0806"</f>
        <v>51.0806</v>
      </c>
      <c r="C1934" t="str">
        <f t="shared" ref="C1934:C1997" si="50">"51"</f>
        <v>51</v>
      </c>
    </row>
    <row r="1935" spans="1:3" x14ac:dyDescent="0.25">
      <c r="A1935" t="s">
        <v>1456</v>
      </c>
      <c r="B1935" t="str">
        <f>"51.0808"</f>
        <v>51.0808</v>
      </c>
      <c r="C1935" t="str">
        <f t="shared" si="50"/>
        <v>51</v>
      </c>
    </row>
    <row r="1936" spans="1:3" x14ac:dyDescent="0.25">
      <c r="A1936" t="s">
        <v>1457</v>
      </c>
      <c r="B1936" t="str">
        <f>"51.0809"</f>
        <v>51.0809</v>
      </c>
      <c r="C1936" t="str">
        <f t="shared" si="50"/>
        <v>51</v>
      </c>
    </row>
    <row r="1937" spans="1:3" x14ac:dyDescent="0.25">
      <c r="A1937" t="s">
        <v>1458</v>
      </c>
      <c r="B1937" t="str">
        <f>"51.0810"</f>
        <v>51.0810</v>
      </c>
      <c r="C1937" t="str">
        <f t="shared" si="50"/>
        <v>51</v>
      </c>
    </row>
    <row r="1938" spans="1:3" x14ac:dyDescent="0.25">
      <c r="A1938" t="s">
        <v>1459</v>
      </c>
      <c r="B1938" t="str">
        <f>"51.0811"</f>
        <v>51.0811</v>
      </c>
      <c r="C1938" t="str">
        <f t="shared" si="50"/>
        <v>51</v>
      </c>
    </row>
    <row r="1939" spans="1:3" x14ac:dyDescent="0.25">
      <c r="A1939" t="s">
        <v>1460</v>
      </c>
      <c r="B1939" t="str">
        <f>"51.0812"</f>
        <v>51.0812</v>
      </c>
      <c r="C1939" t="str">
        <f t="shared" si="50"/>
        <v>51</v>
      </c>
    </row>
    <row r="1940" spans="1:3" x14ac:dyDescent="0.25">
      <c r="A1940" t="s">
        <v>2118</v>
      </c>
      <c r="B1940" t="str">
        <f>"51.0813"</f>
        <v>51.0813</v>
      </c>
      <c r="C1940" t="str">
        <f t="shared" si="50"/>
        <v>51</v>
      </c>
    </row>
    <row r="1941" spans="1:3" x14ac:dyDescent="0.25">
      <c r="A1941" t="s">
        <v>1461</v>
      </c>
      <c r="B1941" t="str">
        <f>"51.0814"</f>
        <v>51.0814</v>
      </c>
      <c r="C1941" t="str">
        <f t="shared" si="50"/>
        <v>51</v>
      </c>
    </row>
    <row r="1942" spans="1:3" x14ac:dyDescent="0.25">
      <c r="A1942" t="s">
        <v>1462</v>
      </c>
      <c r="B1942" t="str">
        <f>"51.0815"</f>
        <v>51.0815</v>
      </c>
      <c r="C1942" t="str">
        <f t="shared" si="50"/>
        <v>51</v>
      </c>
    </row>
    <row r="1943" spans="1:3" x14ac:dyDescent="0.25">
      <c r="A1943" t="s">
        <v>1463</v>
      </c>
      <c r="B1943" t="str">
        <f>"51.0816"</f>
        <v>51.0816</v>
      </c>
      <c r="C1943" t="str">
        <f t="shared" si="50"/>
        <v>51</v>
      </c>
    </row>
    <row r="1944" spans="1:3" x14ac:dyDescent="0.25">
      <c r="A1944" t="s">
        <v>1793</v>
      </c>
      <c r="B1944" t="str">
        <f>"51.0817"</f>
        <v>51.0817</v>
      </c>
      <c r="C1944" t="str">
        <f t="shared" si="50"/>
        <v>51</v>
      </c>
    </row>
    <row r="1945" spans="1:3" x14ac:dyDescent="0.25">
      <c r="A1945" t="s">
        <v>1464</v>
      </c>
      <c r="B1945" t="str">
        <f>"51.0899"</f>
        <v>51.0899</v>
      </c>
      <c r="C1945" t="str">
        <f t="shared" si="50"/>
        <v>51</v>
      </c>
    </row>
    <row r="1946" spans="1:3" x14ac:dyDescent="0.25">
      <c r="A1946" t="s">
        <v>1465</v>
      </c>
      <c r="B1946" t="str">
        <f>"51.09"</f>
        <v>51.09</v>
      </c>
      <c r="C1946" t="str">
        <f t="shared" si="50"/>
        <v>51</v>
      </c>
    </row>
    <row r="1947" spans="1:3" x14ac:dyDescent="0.25">
      <c r="A1947" t="s">
        <v>1466</v>
      </c>
      <c r="B1947" t="str">
        <f>"51.0901"</f>
        <v>51.0901</v>
      </c>
      <c r="C1947" t="str">
        <f t="shared" si="50"/>
        <v>51</v>
      </c>
    </row>
    <row r="1948" spans="1:3" x14ac:dyDescent="0.25">
      <c r="A1948" t="s">
        <v>1467</v>
      </c>
      <c r="B1948" t="str">
        <f>"51.0902"</f>
        <v>51.0902</v>
      </c>
      <c r="C1948" t="str">
        <f t="shared" si="50"/>
        <v>51</v>
      </c>
    </row>
    <row r="1949" spans="1:3" x14ac:dyDescent="0.25">
      <c r="A1949" t="s">
        <v>1468</v>
      </c>
      <c r="B1949" t="str">
        <f>"51.0903"</f>
        <v>51.0903</v>
      </c>
      <c r="C1949" t="str">
        <f t="shared" si="50"/>
        <v>51</v>
      </c>
    </row>
    <row r="1950" spans="1:3" x14ac:dyDescent="0.25">
      <c r="A1950" t="s">
        <v>1469</v>
      </c>
      <c r="B1950" t="str">
        <f>"51.0904"</f>
        <v>51.0904</v>
      </c>
      <c r="C1950" t="str">
        <f t="shared" si="50"/>
        <v>51</v>
      </c>
    </row>
    <row r="1951" spans="1:3" x14ac:dyDescent="0.25">
      <c r="A1951" t="s">
        <v>1470</v>
      </c>
      <c r="B1951" t="str">
        <f>"51.0905"</f>
        <v>51.0905</v>
      </c>
      <c r="C1951" t="str">
        <f t="shared" si="50"/>
        <v>51</v>
      </c>
    </row>
    <row r="1952" spans="1:3" x14ac:dyDescent="0.25">
      <c r="A1952" t="s">
        <v>1471</v>
      </c>
      <c r="B1952" t="str">
        <f>"51.0906"</f>
        <v>51.0906</v>
      </c>
      <c r="C1952" t="str">
        <f t="shared" si="50"/>
        <v>51</v>
      </c>
    </row>
    <row r="1953" spans="1:3" x14ac:dyDescent="0.25">
      <c r="A1953" t="s">
        <v>1472</v>
      </c>
      <c r="B1953" t="str">
        <f>"51.0907"</f>
        <v>51.0907</v>
      </c>
      <c r="C1953" t="str">
        <f t="shared" si="50"/>
        <v>51</v>
      </c>
    </row>
    <row r="1954" spans="1:3" x14ac:dyDescent="0.25">
      <c r="A1954" t="s">
        <v>1473</v>
      </c>
      <c r="B1954" t="str">
        <f>"51.0908"</f>
        <v>51.0908</v>
      </c>
      <c r="C1954" t="str">
        <f t="shared" si="50"/>
        <v>51</v>
      </c>
    </row>
    <row r="1955" spans="1:3" x14ac:dyDescent="0.25">
      <c r="A1955" t="s">
        <v>1474</v>
      </c>
      <c r="B1955" t="str">
        <f>"51.0909"</f>
        <v>51.0909</v>
      </c>
      <c r="C1955" t="str">
        <f t="shared" si="50"/>
        <v>51</v>
      </c>
    </row>
    <row r="1956" spans="1:3" x14ac:dyDescent="0.25">
      <c r="A1956" t="s">
        <v>1475</v>
      </c>
      <c r="B1956" t="str">
        <f>"51.0910"</f>
        <v>51.0910</v>
      </c>
      <c r="C1956" t="str">
        <f t="shared" si="50"/>
        <v>51</v>
      </c>
    </row>
    <row r="1957" spans="1:3" x14ac:dyDescent="0.25">
      <c r="A1957" t="s">
        <v>1476</v>
      </c>
      <c r="B1957" t="str">
        <f>"51.0911"</f>
        <v>51.0911</v>
      </c>
      <c r="C1957" t="str">
        <f t="shared" si="50"/>
        <v>51</v>
      </c>
    </row>
    <row r="1958" spans="1:3" x14ac:dyDescent="0.25">
      <c r="A1958" t="s">
        <v>2119</v>
      </c>
      <c r="B1958" t="str">
        <f>"51.0912"</f>
        <v>51.0912</v>
      </c>
      <c r="C1958" t="str">
        <f t="shared" si="50"/>
        <v>51</v>
      </c>
    </row>
    <row r="1959" spans="1:3" x14ac:dyDescent="0.25">
      <c r="A1959" t="s">
        <v>1477</v>
      </c>
      <c r="B1959" t="str">
        <f>"51.0913"</f>
        <v>51.0913</v>
      </c>
      <c r="C1959" t="str">
        <f t="shared" si="50"/>
        <v>51</v>
      </c>
    </row>
    <row r="1960" spans="1:3" x14ac:dyDescent="0.25">
      <c r="A1960" t="s">
        <v>1478</v>
      </c>
      <c r="B1960" t="str">
        <f>"51.0914"</f>
        <v>51.0914</v>
      </c>
      <c r="C1960" t="str">
        <f t="shared" si="50"/>
        <v>51</v>
      </c>
    </row>
    <row r="1961" spans="1:3" x14ac:dyDescent="0.25">
      <c r="A1961" t="s">
        <v>1479</v>
      </c>
      <c r="B1961" t="str">
        <f>"51.0915"</f>
        <v>51.0915</v>
      </c>
      <c r="C1961" t="str">
        <f t="shared" si="50"/>
        <v>51</v>
      </c>
    </row>
    <row r="1962" spans="1:3" x14ac:dyDescent="0.25">
      <c r="A1962" t="s">
        <v>1480</v>
      </c>
      <c r="B1962" t="str">
        <f>"51.0916"</f>
        <v>51.0916</v>
      </c>
      <c r="C1962" t="str">
        <f t="shared" si="50"/>
        <v>51</v>
      </c>
    </row>
    <row r="1963" spans="1:3" x14ac:dyDescent="0.25">
      <c r="A1963" t="s">
        <v>1481</v>
      </c>
      <c r="B1963" t="str">
        <f>"51.0917"</f>
        <v>51.0917</v>
      </c>
      <c r="C1963" t="str">
        <f t="shared" si="50"/>
        <v>51</v>
      </c>
    </row>
    <row r="1964" spans="1:3" x14ac:dyDescent="0.25">
      <c r="A1964" t="s">
        <v>1482</v>
      </c>
      <c r="B1964" t="str">
        <f>"51.0918"</f>
        <v>51.0918</v>
      </c>
      <c r="C1964" t="str">
        <f t="shared" si="50"/>
        <v>51</v>
      </c>
    </row>
    <row r="1965" spans="1:3" x14ac:dyDescent="0.25">
      <c r="A1965" t="s">
        <v>2120</v>
      </c>
      <c r="B1965" t="str">
        <f>"51.0919"</f>
        <v>51.0919</v>
      </c>
      <c r="C1965" t="str">
        <f t="shared" si="50"/>
        <v>51</v>
      </c>
    </row>
    <row r="1966" spans="1:3" x14ac:dyDescent="0.25">
      <c r="A1966" t="s">
        <v>1483</v>
      </c>
      <c r="B1966" t="str">
        <f>"51.0920"</f>
        <v>51.0920</v>
      </c>
      <c r="C1966" t="str">
        <f t="shared" si="50"/>
        <v>51</v>
      </c>
    </row>
    <row r="1967" spans="1:3" x14ac:dyDescent="0.25">
      <c r="A1967" t="s">
        <v>2121</v>
      </c>
      <c r="B1967" t="str">
        <f>"51.0921"</f>
        <v>51.0921</v>
      </c>
      <c r="C1967" t="str">
        <f t="shared" si="50"/>
        <v>51</v>
      </c>
    </row>
    <row r="1968" spans="1:3" x14ac:dyDescent="0.25">
      <c r="A1968" t="s">
        <v>2122</v>
      </c>
      <c r="B1968" t="str">
        <f>"51.0922"</f>
        <v>51.0922</v>
      </c>
      <c r="C1968" t="str">
        <f t="shared" si="50"/>
        <v>51</v>
      </c>
    </row>
    <row r="1969" spans="1:3" x14ac:dyDescent="0.25">
      <c r="A1969" t="s">
        <v>2123</v>
      </c>
      <c r="B1969" t="str">
        <f>"51.0923"</f>
        <v>51.0923</v>
      </c>
      <c r="C1969" t="str">
        <f t="shared" si="50"/>
        <v>51</v>
      </c>
    </row>
    <row r="1970" spans="1:3" x14ac:dyDescent="0.25">
      <c r="A1970" t="s">
        <v>1793</v>
      </c>
      <c r="B1970" t="str">
        <f>"51.0924"</f>
        <v>51.0924</v>
      </c>
      <c r="C1970" t="str">
        <f t="shared" si="50"/>
        <v>51</v>
      </c>
    </row>
    <row r="1971" spans="1:3" x14ac:dyDescent="0.25">
      <c r="A1971" t="s">
        <v>1484</v>
      </c>
      <c r="B1971" t="str">
        <f>"51.0999"</f>
        <v>51.0999</v>
      </c>
      <c r="C1971" t="str">
        <f t="shared" si="50"/>
        <v>51</v>
      </c>
    </row>
    <row r="1972" spans="1:3" x14ac:dyDescent="0.25">
      <c r="A1972" t="s">
        <v>1485</v>
      </c>
      <c r="B1972" t="str">
        <f>"51.10"</f>
        <v>51.10</v>
      </c>
      <c r="C1972" t="str">
        <f t="shared" si="50"/>
        <v>51</v>
      </c>
    </row>
    <row r="1973" spans="1:3" x14ac:dyDescent="0.25">
      <c r="A1973" t="s">
        <v>1486</v>
      </c>
      <c r="B1973" t="str">
        <f>"51.1001"</f>
        <v>51.1001</v>
      </c>
      <c r="C1973" t="str">
        <f t="shared" si="50"/>
        <v>51</v>
      </c>
    </row>
    <row r="1974" spans="1:3" x14ac:dyDescent="0.25">
      <c r="A1974" t="s">
        <v>1487</v>
      </c>
      <c r="B1974" t="str">
        <f>"51.1002"</f>
        <v>51.1002</v>
      </c>
      <c r="C1974" t="str">
        <f t="shared" si="50"/>
        <v>51</v>
      </c>
    </row>
    <row r="1975" spans="1:3" x14ac:dyDescent="0.25">
      <c r="A1975" t="s">
        <v>1488</v>
      </c>
      <c r="B1975" t="str">
        <f>"51.1003"</f>
        <v>51.1003</v>
      </c>
      <c r="C1975" t="str">
        <f t="shared" si="50"/>
        <v>51</v>
      </c>
    </row>
    <row r="1976" spans="1:3" x14ac:dyDescent="0.25">
      <c r="A1976" t="s">
        <v>1489</v>
      </c>
      <c r="B1976" t="str">
        <f>"51.1004"</f>
        <v>51.1004</v>
      </c>
      <c r="C1976" t="str">
        <f t="shared" si="50"/>
        <v>51</v>
      </c>
    </row>
    <row r="1977" spans="1:3" x14ac:dyDescent="0.25">
      <c r="A1977" t="s">
        <v>1490</v>
      </c>
      <c r="B1977" t="str">
        <f>"51.1005"</f>
        <v>51.1005</v>
      </c>
      <c r="C1977" t="str">
        <f t="shared" si="50"/>
        <v>51</v>
      </c>
    </row>
    <row r="1978" spans="1:3" x14ac:dyDescent="0.25">
      <c r="A1978" t="s">
        <v>1491</v>
      </c>
      <c r="B1978" t="str">
        <f>"51.1006"</f>
        <v>51.1006</v>
      </c>
      <c r="C1978" t="str">
        <f t="shared" si="50"/>
        <v>51</v>
      </c>
    </row>
    <row r="1979" spans="1:3" x14ac:dyDescent="0.25">
      <c r="A1979" t="s">
        <v>1492</v>
      </c>
      <c r="B1979" t="str">
        <f>"51.1007"</f>
        <v>51.1007</v>
      </c>
      <c r="C1979" t="str">
        <f t="shared" si="50"/>
        <v>51</v>
      </c>
    </row>
    <row r="1980" spans="1:3" x14ac:dyDescent="0.25">
      <c r="A1980" t="s">
        <v>1493</v>
      </c>
      <c r="B1980" t="str">
        <f>"51.1008"</f>
        <v>51.1008</v>
      </c>
      <c r="C1980" t="str">
        <f t="shared" si="50"/>
        <v>51</v>
      </c>
    </row>
    <row r="1981" spans="1:3" x14ac:dyDescent="0.25">
      <c r="A1981" t="s">
        <v>1494</v>
      </c>
      <c r="B1981" t="str">
        <f>"51.1009"</f>
        <v>51.1009</v>
      </c>
      <c r="C1981" t="str">
        <f t="shared" si="50"/>
        <v>51</v>
      </c>
    </row>
    <row r="1982" spans="1:3" x14ac:dyDescent="0.25">
      <c r="A1982" t="s">
        <v>1495</v>
      </c>
      <c r="B1982" t="str">
        <f>"51.1010"</f>
        <v>51.1010</v>
      </c>
      <c r="C1982" t="str">
        <f t="shared" si="50"/>
        <v>51</v>
      </c>
    </row>
    <row r="1983" spans="1:3" x14ac:dyDescent="0.25">
      <c r="A1983" t="s">
        <v>1496</v>
      </c>
      <c r="B1983" t="str">
        <f>"51.1011"</f>
        <v>51.1011</v>
      </c>
      <c r="C1983" t="str">
        <f t="shared" si="50"/>
        <v>51</v>
      </c>
    </row>
    <row r="1984" spans="1:3" x14ac:dyDescent="0.25">
      <c r="A1984" t="s">
        <v>1497</v>
      </c>
      <c r="B1984" t="str">
        <f>"51.1012"</f>
        <v>51.1012</v>
      </c>
      <c r="C1984" t="str">
        <f t="shared" si="50"/>
        <v>51</v>
      </c>
    </row>
    <row r="1985" spans="1:3" x14ac:dyDescent="0.25">
      <c r="A1985" t="s">
        <v>1498</v>
      </c>
      <c r="B1985" t="str">
        <f>"51.1099"</f>
        <v>51.1099</v>
      </c>
      <c r="C1985" t="str">
        <f t="shared" si="50"/>
        <v>51</v>
      </c>
    </row>
    <row r="1986" spans="1:3" x14ac:dyDescent="0.25">
      <c r="A1986" t="s">
        <v>1499</v>
      </c>
      <c r="B1986" t="str">
        <f>"51.11"</f>
        <v>51.11</v>
      </c>
      <c r="C1986" t="str">
        <f t="shared" si="50"/>
        <v>51</v>
      </c>
    </row>
    <row r="1987" spans="1:3" x14ac:dyDescent="0.25">
      <c r="A1987" t="s">
        <v>1500</v>
      </c>
      <c r="B1987" t="str">
        <f>"51.1101"</f>
        <v>51.1101</v>
      </c>
      <c r="C1987" t="str">
        <f t="shared" si="50"/>
        <v>51</v>
      </c>
    </row>
    <row r="1988" spans="1:3" x14ac:dyDescent="0.25">
      <c r="A1988" t="s">
        <v>1501</v>
      </c>
      <c r="B1988" t="str">
        <f>"51.1102"</f>
        <v>51.1102</v>
      </c>
      <c r="C1988" t="str">
        <f t="shared" si="50"/>
        <v>51</v>
      </c>
    </row>
    <row r="1989" spans="1:3" x14ac:dyDescent="0.25">
      <c r="A1989" t="s">
        <v>1502</v>
      </c>
      <c r="B1989" t="str">
        <f>"51.1103"</f>
        <v>51.1103</v>
      </c>
      <c r="C1989" t="str">
        <f t="shared" si="50"/>
        <v>51</v>
      </c>
    </row>
    <row r="1990" spans="1:3" x14ac:dyDescent="0.25">
      <c r="A1990" t="s">
        <v>1503</v>
      </c>
      <c r="B1990" t="str">
        <f>"51.1104"</f>
        <v>51.1104</v>
      </c>
      <c r="C1990" t="str">
        <f t="shared" si="50"/>
        <v>51</v>
      </c>
    </row>
    <row r="1991" spans="1:3" x14ac:dyDescent="0.25">
      <c r="A1991" t="s">
        <v>1504</v>
      </c>
      <c r="B1991" t="str">
        <f>"51.1105"</f>
        <v>51.1105</v>
      </c>
      <c r="C1991" t="str">
        <f t="shared" si="50"/>
        <v>51</v>
      </c>
    </row>
    <row r="1992" spans="1:3" x14ac:dyDescent="0.25">
      <c r="A1992" t="s">
        <v>1505</v>
      </c>
      <c r="B1992" t="str">
        <f>"51.1106"</f>
        <v>51.1106</v>
      </c>
      <c r="C1992" t="str">
        <f t="shared" si="50"/>
        <v>51</v>
      </c>
    </row>
    <row r="1993" spans="1:3" x14ac:dyDescent="0.25">
      <c r="A1993" t="s">
        <v>1506</v>
      </c>
      <c r="B1993" t="str">
        <f>"51.1107"</f>
        <v>51.1107</v>
      </c>
      <c r="C1993" t="str">
        <f t="shared" si="50"/>
        <v>51</v>
      </c>
    </row>
    <row r="1994" spans="1:3" x14ac:dyDescent="0.25">
      <c r="A1994" t="s">
        <v>1507</v>
      </c>
      <c r="B1994" t="str">
        <f>"51.1108"</f>
        <v>51.1108</v>
      </c>
      <c r="C1994" t="str">
        <f t="shared" si="50"/>
        <v>51</v>
      </c>
    </row>
    <row r="1995" spans="1:3" x14ac:dyDescent="0.25">
      <c r="A1995" t="s">
        <v>1508</v>
      </c>
      <c r="B1995" t="str">
        <f>"51.1109"</f>
        <v>51.1109</v>
      </c>
      <c r="C1995" t="str">
        <f t="shared" si="50"/>
        <v>51</v>
      </c>
    </row>
    <row r="1996" spans="1:3" x14ac:dyDescent="0.25">
      <c r="A1996" t="s">
        <v>2124</v>
      </c>
      <c r="B1996" t="str">
        <f>"51.1110"</f>
        <v>51.1110</v>
      </c>
      <c r="C1996" t="str">
        <f t="shared" si="50"/>
        <v>51</v>
      </c>
    </row>
    <row r="1997" spans="1:3" x14ac:dyDescent="0.25">
      <c r="A1997" t="s">
        <v>2125</v>
      </c>
      <c r="B1997" t="str">
        <f>"51.1111"</f>
        <v>51.1111</v>
      </c>
      <c r="C1997" t="str">
        <f t="shared" si="50"/>
        <v>51</v>
      </c>
    </row>
    <row r="1998" spans="1:3" x14ac:dyDescent="0.25">
      <c r="A1998" t="s">
        <v>1509</v>
      </c>
      <c r="B1998" t="str">
        <f>"51.1199"</f>
        <v>51.1199</v>
      </c>
      <c r="C1998" t="str">
        <f t="shared" ref="C1998:C2061" si="51">"51"</f>
        <v>51</v>
      </c>
    </row>
    <row r="1999" spans="1:3" x14ac:dyDescent="0.25">
      <c r="A1999" t="s">
        <v>1510</v>
      </c>
      <c r="B1999" t="str">
        <f>"51.12"</f>
        <v>51.12</v>
      </c>
      <c r="C1999" t="str">
        <f t="shared" si="51"/>
        <v>51</v>
      </c>
    </row>
    <row r="2000" spans="1:3" x14ac:dyDescent="0.25">
      <c r="A2000" t="s">
        <v>1510</v>
      </c>
      <c r="B2000" t="str">
        <f>"51.1201"</f>
        <v>51.1201</v>
      </c>
      <c r="C2000" t="str">
        <f t="shared" si="51"/>
        <v>51</v>
      </c>
    </row>
    <row r="2001" spans="1:3" x14ac:dyDescent="0.25">
      <c r="A2001" t="s">
        <v>1541</v>
      </c>
      <c r="B2001" t="str">
        <f>"51.1202"</f>
        <v>51.1202</v>
      </c>
      <c r="C2001" t="str">
        <f t="shared" si="51"/>
        <v>51</v>
      </c>
    </row>
    <row r="2002" spans="1:3" x14ac:dyDescent="0.25">
      <c r="A2002" t="s">
        <v>1555</v>
      </c>
      <c r="B2002" t="str">
        <f>"51.1203"</f>
        <v>51.1203</v>
      </c>
      <c r="C2002" t="str">
        <f t="shared" si="51"/>
        <v>51</v>
      </c>
    </row>
    <row r="2003" spans="1:3" x14ac:dyDescent="0.25">
      <c r="A2003" t="s">
        <v>2126</v>
      </c>
      <c r="B2003" t="str">
        <f>"51.1299"</f>
        <v>51.1299</v>
      </c>
      <c r="C2003" t="str">
        <f t="shared" si="51"/>
        <v>51</v>
      </c>
    </row>
    <row r="2004" spans="1:3" x14ac:dyDescent="0.25">
      <c r="A2004" t="s">
        <v>1511</v>
      </c>
      <c r="B2004" t="str">
        <f>"51.14"</f>
        <v>51.14</v>
      </c>
      <c r="C2004" t="str">
        <f t="shared" si="51"/>
        <v>51</v>
      </c>
    </row>
    <row r="2005" spans="1:3" x14ac:dyDescent="0.25">
      <c r="A2005" t="s">
        <v>2127</v>
      </c>
      <c r="B2005" t="str">
        <f>"51.1401"</f>
        <v>51.1401</v>
      </c>
      <c r="C2005" t="str">
        <f t="shared" si="51"/>
        <v>51</v>
      </c>
    </row>
    <row r="2006" spans="1:3" x14ac:dyDescent="0.25">
      <c r="A2006" t="s">
        <v>2128</v>
      </c>
      <c r="B2006" t="str">
        <f>"51.1402"</f>
        <v>51.1402</v>
      </c>
      <c r="C2006" t="str">
        <f t="shared" si="51"/>
        <v>51</v>
      </c>
    </row>
    <row r="2007" spans="1:3" x14ac:dyDescent="0.25">
      <c r="A2007" t="s">
        <v>2129</v>
      </c>
      <c r="B2007" t="str">
        <f>"51.1403"</f>
        <v>51.1403</v>
      </c>
      <c r="C2007" t="str">
        <f t="shared" si="51"/>
        <v>51</v>
      </c>
    </row>
    <row r="2008" spans="1:3" x14ac:dyDescent="0.25">
      <c r="A2008" t="s">
        <v>2130</v>
      </c>
      <c r="B2008" t="str">
        <f>"51.1404"</f>
        <v>51.1404</v>
      </c>
      <c r="C2008" t="str">
        <f t="shared" si="51"/>
        <v>51</v>
      </c>
    </row>
    <row r="2009" spans="1:3" x14ac:dyDescent="0.25">
      <c r="A2009" t="s">
        <v>2131</v>
      </c>
      <c r="B2009" t="str">
        <f>"51.1405"</f>
        <v>51.1405</v>
      </c>
      <c r="C2009" t="str">
        <f t="shared" si="51"/>
        <v>51</v>
      </c>
    </row>
    <row r="2010" spans="1:3" x14ac:dyDescent="0.25">
      <c r="A2010" t="s">
        <v>2132</v>
      </c>
      <c r="B2010" t="str">
        <f>"51.1499"</f>
        <v>51.1499</v>
      </c>
      <c r="C2010" t="str">
        <f t="shared" si="51"/>
        <v>51</v>
      </c>
    </row>
    <row r="2011" spans="1:3" x14ac:dyDescent="0.25">
      <c r="A2011" t="s">
        <v>1512</v>
      </c>
      <c r="B2011" t="str">
        <f>"51.15"</f>
        <v>51.15</v>
      </c>
      <c r="C2011" t="str">
        <f t="shared" si="51"/>
        <v>51</v>
      </c>
    </row>
    <row r="2012" spans="1:3" x14ac:dyDescent="0.25">
      <c r="A2012" t="s">
        <v>1513</v>
      </c>
      <c r="B2012" t="str">
        <f>"51.1501"</f>
        <v>51.1501</v>
      </c>
      <c r="C2012" t="str">
        <f t="shared" si="51"/>
        <v>51</v>
      </c>
    </row>
    <row r="2013" spans="1:3" x14ac:dyDescent="0.25">
      <c r="A2013" t="s">
        <v>1514</v>
      </c>
      <c r="B2013" t="str">
        <f>"51.1502"</f>
        <v>51.1502</v>
      </c>
      <c r="C2013" t="str">
        <f t="shared" si="51"/>
        <v>51</v>
      </c>
    </row>
    <row r="2014" spans="1:3" x14ac:dyDescent="0.25">
      <c r="A2014" t="s">
        <v>1515</v>
      </c>
      <c r="B2014" t="str">
        <f>"51.1503"</f>
        <v>51.1503</v>
      </c>
      <c r="C2014" t="str">
        <f t="shared" si="51"/>
        <v>51</v>
      </c>
    </row>
    <row r="2015" spans="1:3" x14ac:dyDescent="0.25">
      <c r="A2015" t="s">
        <v>1516</v>
      </c>
      <c r="B2015" t="str">
        <f>"51.1504"</f>
        <v>51.1504</v>
      </c>
      <c r="C2015" t="str">
        <f t="shared" si="51"/>
        <v>51</v>
      </c>
    </row>
    <row r="2016" spans="1:3" x14ac:dyDescent="0.25">
      <c r="A2016" t="s">
        <v>1517</v>
      </c>
      <c r="B2016" t="str">
        <f>"51.1505"</f>
        <v>51.1505</v>
      </c>
      <c r="C2016" t="str">
        <f t="shared" si="51"/>
        <v>51</v>
      </c>
    </row>
    <row r="2017" spans="1:3" x14ac:dyDescent="0.25">
      <c r="A2017" t="s">
        <v>1518</v>
      </c>
      <c r="B2017" t="str">
        <f>"51.1506"</f>
        <v>51.1506</v>
      </c>
      <c r="C2017" t="str">
        <f t="shared" si="51"/>
        <v>51</v>
      </c>
    </row>
    <row r="2018" spans="1:3" x14ac:dyDescent="0.25">
      <c r="A2018" t="s">
        <v>1519</v>
      </c>
      <c r="B2018" t="str">
        <f>"51.1507"</f>
        <v>51.1507</v>
      </c>
      <c r="C2018" t="str">
        <f t="shared" si="51"/>
        <v>51</v>
      </c>
    </row>
    <row r="2019" spans="1:3" x14ac:dyDescent="0.25">
      <c r="A2019" t="s">
        <v>1520</v>
      </c>
      <c r="B2019" t="str">
        <f>"51.1508"</f>
        <v>51.1508</v>
      </c>
      <c r="C2019" t="str">
        <f t="shared" si="51"/>
        <v>51</v>
      </c>
    </row>
    <row r="2020" spans="1:3" x14ac:dyDescent="0.25">
      <c r="A2020" t="s">
        <v>1521</v>
      </c>
      <c r="B2020" t="str">
        <f>"51.1509"</f>
        <v>51.1509</v>
      </c>
      <c r="C2020" t="str">
        <f t="shared" si="51"/>
        <v>51</v>
      </c>
    </row>
    <row r="2021" spans="1:3" x14ac:dyDescent="0.25">
      <c r="A2021" t="s">
        <v>2133</v>
      </c>
      <c r="B2021" t="str">
        <f>"51.1510"</f>
        <v>51.1510</v>
      </c>
      <c r="C2021" t="str">
        <f t="shared" si="51"/>
        <v>51</v>
      </c>
    </row>
    <row r="2022" spans="1:3" x14ac:dyDescent="0.25">
      <c r="A2022" t="s">
        <v>2134</v>
      </c>
      <c r="B2022" t="str">
        <f>"51.1511"</f>
        <v>51.1511</v>
      </c>
      <c r="C2022" t="str">
        <f t="shared" si="51"/>
        <v>51</v>
      </c>
    </row>
    <row r="2023" spans="1:3" x14ac:dyDescent="0.25">
      <c r="A2023" t="s">
        <v>2135</v>
      </c>
      <c r="B2023" t="str">
        <f>"51.1512"</f>
        <v>51.1512</v>
      </c>
      <c r="C2023" t="str">
        <f t="shared" si="51"/>
        <v>51</v>
      </c>
    </row>
    <row r="2024" spans="1:3" x14ac:dyDescent="0.25">
      <c r="A2024" t="s">
        <v>2136</v>
      </c>
      <c r="B2024" t="str">
        <f>"51.1513"</f>
        <v>51.1513</v>
      </c>
      <c r="C2024" t="str">
        <f t="shared" si="51"/>
        <v>51</v>
      </c>
    </row>
    <row r="2025" spans="1:3" x14ac:dyDescent="0.25">
      <c r="A2025" t="s">
        <v>1793</v>
      </c>
      <c r="B2025" t="str">
        <f>"51.1580"</f>
        <v>51.1580</v>
      </c>
      <c r="C2025" t="str">
        <f t="shared" si="51"/>
        <v>51</v>
      </c>
    </row>
    <row r="2026" spans="1:3" x14ac:dyDescent="0.25">
      <c r="A2026" t="s">
        <v>1522</v>
      </c>
      <c r="B2026" t="str">
        <f>"51.1599"</f>
        <v>51.1599</v>
      </c>
      <c r="C2026" t="str">
        <f t="shared" si="51"/>
        <v>51</v>
      </c>
    </row>
    <row r="2027" spans="1:3" x14ac:dyDescent="0.25">
      <c r="A2027" t="s">
        <v>1534</v>
      </c>
      <c r="B2027" t="str">
        <f>"51.17"</f>
        <v>51.17</v>
      </c>
      <c r="C2027" t="str">
        <f t="shared" si="51"/>
        <v>51</v>
      </c>
    </row>
    <row r="2028" spans="1:3" x14ac:dyDescent="0.25">
      <c r="A2028" t="s">
        <v>1534</v>
      </c>
      <c r="B2028" t="str">
        <f>"51.1701"</f>
        <v>51.1701</v>
      </c>
      <c r="C2028" t="str">
        <f t="shared" si="51"/>
        <v>51</v>
      </c>
    </row>
    <row r="2029" spans="1:3" x14ac:dyDescent="0.25">
      <c r="A2029" t="s">
        <v>1535</v>
      </c>
      <c r="B2029" t="str">
        <f>"51.18"</f>
        <v>51.18</v>
      </c>
      <c r="C2029" t="str">
        <f t="shared" si="51"/>
        <v>51</v>
      </c>
    </row>
    <row r="2030" spans="1:3" x14ac:dyDescent="0.25">
      <c r="A2030" t="s">
        <v>1536</v>
      </c>
      <c r="B2030" t="str">
        <f>"51.1801"</f>
        <v>51.1801</v>
      </c>
      <c r="C2030" t="str">
        <f t="shared" si="51"/>
        <v>51</v>
      </c>
    </row>
    <row r="2031" spans="1:3" x14ac:dyDescent="0.25">
      <c r="A2031" t="s">
        <v>1537</v>
      </c>
      <c r="B2031" t="str">
        <f>"51.1802"</f>
        <v>51.1802</v>
      </c>
      <c r="C2031" t="str">
        <f t="shared" si="51"/>
        <v>51</v>
      </c>
    </row>
    <row r="2032" spans="1:3" x14ac:dyDescent="0.25">
      <c r="A2032" t="s">
        <v>1538</v>
      </c>
      <c r="B2032" t="str">
        <f>"51.1803"</f>
        <v>51.1803</v>
      </c>
      <c r="C2032" t="str">
        <f t="shared" si="51"/>
        <v>51</v>
      </c>
    </row>
    <row r="2033" spans="1:3" x14ac:dyDescent="0.25">
      <c r="A2033" t="s">
        <v>1539</v>
      </c>
      <c r="B2033" t="str">
        <f>"51.1804"</f>
        <v>51.1804</v>
      </c>
      <c r="C2033" t="str">
        <f t="shared" si="51"/>
        <v>51</v>
      </c>
    </row>
    <row r="2034" spans="1:3" x14ac:dyDescent="0.25">
      <c r="A2034" t="s">
        <v>1540</v>
      </c>
      <c r="B2034" t="str">
        <f>"51.1899"</f>
        <v>51.1899</v>
      </c>
      <c r="C2034" t="str">
        <f t="shared" si="51"/>
        <v>51</v>
      </c>
    </row>
    <row r="2035" spans="1:3" x14ac:dyDescent="0.25">
      <c r="A2035" t="s">
        <v>1541</v>
      </c>
      <c r="B2035" t="str">
        <f>"51.19"</f>
        <v>51.19</v>
      </c>
      <c r="C2035" t="str">
        <f t="shared" si="51"/>
        <v>51</v>
      </c>
    </row>
    <row r="2036" spans="1:3" x14ac:dyDescent="0.25">
      <c r="A2036" t="s">
        <v>1541</v>
      </c>
      <c r="B2036" t="str">
        <f>"51.1901"</f>
        <v>51.1901</v>
      </c>
      <c r="C2036" t="str">
        <f t="shared" si="51"/>
        <v>51</v>
      </c>
    </row>
    <row r="2037" spans="1:3" x14ac:dyDescent="0.25">
      <c r="A2037" t="s">
        <v>1542</v>
      </c>
      <c r="B2037" t="str">
        <f>"51.20"</f>
        <v>51.20</v>
      </c>
      <c r="C2037" t="str">
        <f t="shared" si="51"/>
        <v>51</v>
      </c>
    </row>
    <row r="2038" spans="1:3" x14ac:dyDescent="0.25">
      <c r="A2038" t="s">
        <v>1543</v>
      </c>
      <c r="B2038" t="str">
        <f>"51.2001"</f>
        <v>51.2001</v>
      </c>
      <c r="C2038" t="str">
        <f t="shared" si="51"/>
        <v>51</v>
      </c>
    </row>
    <row r="2039" spans="1:3" x14ac:dyDescent="0.25">
      <c r="A2039" t="s">
        <v>1544</v>
      </c>
      <c r="B2039" t="str">
        <f>"51.2002"</f>
        <v>51.2002</v>
      </c>
      <c r="C2039" t="str">
        <f t="shared" si="51"/>
        <v>51</v>
      </c>
    </row>
    <row r="2040" spans="1:3" x14ac:dyDescent="0.25">
      <c r="A2040" t="s">
        <v>1545</v>
      </c>
      <c r="B2040" t="str">
        <f>"51.2003"</f>
        <v>51.2003</v>
      </c>
      <c r="C2040" t="str">
        <f t="shared" si="51"/>
        <v>51</v>
      </c>
    </row>
    <row r="2041" spans="1:3" x14ac:dyDescent="0.25">
      <c r="A2041" t="s">
        <v>1546</v>
      </c>
      <c r="B2041" t="str">
        <f>"51.2004"</f>
        <v>51.2004</v>
      </c>
      <c r="C2041" t="str">
        <f t="shared" si="51"/>
        <v>51</v>
      </c>
    </row>
    <row r="2042" spans="1:3" x14ac:dyDescent="0.25">
      <c r="A2042" t="s">
        <v>1547</v>
      </c>
      <c r="B2042" t="str">
        <f>"51.2005"</f>
        <v>51.2005</v>
      </c>
      <c r="C2042" t="str">
        <f t="shared" si="51"/>
        <v>51</v>
      </c>
    </row>
    <row r="2043" spans="1:3" x14ac:dyDescent="0.25">
      <c r="A2043" t="s">
        <v>1548</v>
      </c>
      <c r="B2043" t="str">
        <f>"51.2006"</f>
        <v>51.2006</v>
      </c>
      <c r="C2043" t="str">
        <f t="shared" si="51"/>
        <v>51</v>
      </c>
    </row>
    <row r="2044" spans="1:3" x14ac:dyDescent="0.25">
      <c r="A2044" t="s">
        <v>1549</v>
      </c>
      <c r="B2044" t="str">
        <f>"51.2007"</f>
        <v>51.2007</v>
      </c>
      <c r="C2044" t="str">
        <f t="shared" si="51"/>
        <v>51</v>
      </c>
    </row>
    <row r="2045" spans="1:3" x14ac:dyDescent="0.25">
      <c r="A2045" t="s">
        <v>1550</v>
      </c>
      <c r="B2045" t="str">
        <f>"51.2008"</f>
        <v>51.2008</v>
      </c>
      <c r="C2045" t="str">
        <f t="shared" si="51"/>
        <v>51</v>
      </c>
    </row>
    <row r="2046" spans="1:3" x14ac:dyDescent="0.25">
      <c r="A2046" t="s">
        <v>1551</v>
      </c>
      <c r="B2046" t="str">
        <f>"51.2009"</f>
        <v>51.2009</v>
      </c>
      <c r="C2046" t="str">
        <f t="shared" si="51"/>
        <v>51</v>
      </c>
    </row>
    <row r="2047" spans="1:3" x14ac:dyDescent="0.25">
      <c r="A2047" t="s">
        <v>1552</v>
      </c>
      <c r="B2047" t="str">
        <f>"51.2010"</f>
        <v>51.2010</v>
      </c>
      <c r="C2047" t="str">
        <f t="shared" si="51"/>
        <v>51</v>
      </c>
    </row>
    <row r="2048" spans="1:3" x14ac:dyDescent="0.25">
      <c r="A2048" t="s">
        <v>1553</v>
      </c>
      <c r="B2048" t="str">
        <f>"51.2011"</f>
        <v>51.2011</v>
      </c>
      <c r="C2048" t="str">
        <f t="shared" si="51"/>
        <v>51</v>
      </c>
    </row>
    <row r="2049" spans="1:3" x14ac:dyDescent="0.25">
      <c r="A2049" t="s">
        <v>1554</v>
      </c>
      <c r="B2049" t="str">
        <f>"51.2099"</f>
        <v>51.2099</v>
      </c>
      <c r="C2049" t="str">
        <f t="shared" si="51"/>
        <v>51</v>
      </c>
    </row>
    <row r="2050" spans="1:3" x14ac:dyDescent="0.25">
      <c r="A2050" t="s">
        <v>1555</v>
      </c>
      <c r="B2050" t="str">
        <f>"51.21"</f>
        <v>51.21</v>
      </c>
      <c r="C2050" t="str">
        <f t="shared" si="51"/>
        <v>51</v>
      </c>
    </row>
    <row r="2051" spans="1:3" x14ac:dyDescent="0.25">
      <c r="A2051" t="s">
        <v>1555</v>
      </c>
      <c r="B2051" t="str">
        <f>"51.2101"</f>
        <v>51.2101</v>
      </c>
      <c r="C2051" t="str">
        <f t="shared" si="51"/>
        <v>51</v>
      </c>
    </row>
    <row r="2052" spans="1:3" x14ac:dyDescent="0.25">
      <c r="A2052" t="s">
        <v>1556</v>
      </c>
      <c r="B2052" t="str">
        <f>"51.22"</f>
        <v>51.22</v>
      </c>
      <c r="C2052" t="str">
        <f t="shared" si="51"/>
        <v>51</v>
      </c>
    </row>
    <row r="2053" spans="1:3" x14ac:dyDescent="0.25">
      <c r="A2053" t="s">
        <v>1557</v>
      </c>
      <c r="B2053" t="str">
        <f>"51.2201"</f>
        <v>51.2201</v>
      </c>
      <c r="C2053" t="str">
        <f t="shared" si="51"/>
        <v>51</v>
      </c>
    </row>
    <row r="2054" spans="1:3" x14ac:dyDescent="0.25">
      <c r="A2054" t="s">
        <v>1558</v>
      </c>
      <c r="B2054" t="str">
        <f>"51.2202"</f>
        <v>51.2202</v>
      </c>
      <c r="C2054" t="str">
        <f t="shared" si="51"/>
        <v>51</v>
      </c>
    </row>
    <row r="2055" spans="1:3" x14ac:dyDescent="0.25">
      <c r="A2055" t="s">
        <v>1559</v>
      </c>
      <c r="B2055" t="str">
        <f>"51.2205"</f>
        <v>51.2205</v>
      </c>
      <c r="C2055" t="str">
        <f t="shared" si="51"/>
        <v>51</v>
      </c>
    </row>
    <row r="2056" spans="1:3" x14ac:dyDescent="0.25">
      <c r="A2056" t="s">
        <v>1560</v>
      </c>
      <c r="B2056" t="str">
        <f>"51.2206"</f>
        <v>51.2206</v>
      </c>
      <c r="C2056" t="str">
        <f t="shared" si="51"/>
        <v>51</v>
      </c>
    </row>
    <row r="2057" spans="1:3" x14ac:dyDescent="0.25">
      <c r="A2057" t="s">
        <v>1561</v>
      </c>
      <c r="B2057" t="str">
        <f>"51.2207"</f>
        <v>51.2207</v>
      </c>
      <c r="C2057" t="str">
        <f t="shared" si="51"/>
        <v>51</v>
      </c>
    </row>
    <row r="2058" spans="1:3" x14ac:dyDescent="0.25">
      <c r="A2058" t="s">
        <v>1562</v>
      </c>
      <c r="B2058" t="str">
        <f>"51.2208"</f>
        <v>51.2208</v>
      </c>
      <c r="C2058" t="str">
        <f t="shared" si="51"/>
        <v>51</v>
      </c>
    </row>
    <row r="2059" spans="1:3" x14ac:dyDescent="0.25">
      <c r="A2059" t="s">
        <v>1563</v>
      </c>
      <c r="B2059" t="str">
        <f>"51.2209"</f>
        <v>51.2209</v>
      </c>
      <c r="C2059" t="str">
        <f t="shared" si="51"/>
        <v>51</v>
      </c>
    </row>
    <row r="2060" spans="1:3" x14ac:dyDescent="0.25">
      <c r="A2060" t="s">
        <v>1564</v>
      </c>
      <c r="B2060" t="str">
        <f>"51.2210"</f>
        <v>51.2210</v>
      </c>
      <c r="C2060" t="str">
        <f t="shared" si="51"/>
        <v>51</v>
      </c>
    </row>
    <row r="2061" spans="1:3" x14ac:dyDescent="0.25">
      <c r="A2061" t="s">
        <v>1565</v>
      </c>
      <c r="B2061" t="str">
        <f>"51.2211"</f>
        <v>51.2211</v>
      </c>
      <c r="C2061" t="str">
        <f t="shared" si="51"/>
        <v>51</v>
      </c>
    </row>
    <row r="2062" spans="1:3" x14ac:dyDescent="0.25">
      <c r="A2062" t="s">
        <v>1566</v>
      </c>
      <c r="B2062" t="str">
        <f>"51.2212"</f>
        <v>51.2212</v>
      </c>
      <c r="C2062" t="str">
        <f t="shared" ref="C2062:C2125" si="52">"51"</f>
        <v>51</v>
      </c>
    </row>
    <row r="2063" spans="1:3" x14ac:dyDescent="0.25">
      <c r="A2063" t="s">
        <v>2137</v>
      </c>
      <c r="B2063" t="str">
        <f>"51.2213"</f>
        <v>51.2213</v>
      </c>
      <c r="C2063" t="str">
        <f t="shared" si="52"/>
        <v>51</v>
      </c>
    </row>
    <row r="2064" spans="1:3" x14ac:dyDescent="0.25">
      <c r="A2064" t="s">
        <v>2138</v>
      </c>
      <c r="B2064" t="str">
        <f>"51.2214"</f>
        <v>51.2214</v>
      </c>
      <c r="C2064" t="str">
        <f t="shared" si="52"/>
        <v>51</v>
      </c>
    </row>
    <row r="2065" spans="1:3" x14ac:dyDescent="0.25">
      <c r="A2065" t="s">
        <v>1793</v>
      </c>
      <c r="B2065" t="str">
        <f>"51.2280"</f>
        <v>51.2280</v>
      </c>
      <c r="C2065" t="str">
        <f t="shared" si="52"/>
        <v>51</v>
      </c>
    </row>
    <row r="2066" spans="1:3" x14ac:dyDescent="0.25">
      <c r="A2066" t="s">
        <v>1567</v>
      </c>
      <c r="B2066" t="str">
        <f>"51.2299"</f>
        <v>51.2299</v>
      </c>
      <c r="C2066" t="str">
        <f t="shared" si="52"/>
        <v>51</v>
      </c>
    </row>
    <row r="2067" spans="1:3" x14ac:dyDescent="0.25">
      <c r="A2067" t="s">
        <v>1568</v>
      </c>
      <c r="B2067" t="str">
        <f>"51.23"</f>
        <v>51.23</v>
      </c>
      <c r="C2067" t="str">
        <f t="shared" si="52"/>
        <v>51</v>
      </c>
    </row>
    <row r="2068" spans="1:3" x14ac:dyDescent="0.25">
      <c r="A2068" t="s">
        <v>2139</v>
      </c>
      <c r="B2068" t="str">
        <f>"51.2300"</f>
        <v>51.2300</v>
      </c>
      <c r="C2068" t="str">
        <f t="shared" si="52"/>
        <v>51</v>
      </c>
    </row>
    <row r="2069" spans="1:3" x14ac:dyDescent="0.25">
      <c r="A2069" t="s">
        <v>1569</v>
      </c>
      <c r="B2069" t="str">
        <f>"51.2301"</f>
        <v>51.2301</v>
      </c>
      <c r="C2069" t="str">
        <f t="shared" si="52"/>
        <v>51</v>
      </c>
    </row>
    <row r="2070" spans="1:3" x14ac:dyDescent="0.25">
      <c r="A2070" t="s">
        <v>1570</v>
      </c>
      <c r="B2070" t="str">
        <f>"51.2302"</f>
        <v>51.2302</v>
      </c>
      <c r="C2070" t="str">
        <f t="shared" si="52"/>
        <v>51</v>
      </c>
    </row>
    <row r="2071" spans="1:3" x14ac:dyDescent="0.25">
      <c r="A2071" t="s">
        <v>1571</v>
      </c>
      <c r="B2071" t="str">
        <f>"51.2305"</f>
        <v>51.2305</v>
      </c>
      <c r="C2071" t="str">
        <f t="shared" si="52"/>
        <v>51</v>
      </c>
    </row>
    <row r="2072" spans="1:3" x14ac:dyDescent="0.25">
      <c r="A2072" t="s">
        <v>1572</v>
      </c>
      <c r="B2072" t="str">
        <f>"51.2306"</f>
        <v>51.2306</v>
      </c>
      <c r="C2072" t="str">
        <f t="shared" si="52"/>
        <v>51</v>
      </c>
    </row>
    <row r="2073" spans="1:3" x14ac:dyDescent="0.25">
      <c r="A2073" t="s">
        <v>1573</v>
      </c>
      <c r="B2073" t="str">
        <f>"51.2307"</f>
        <v>51.2307</v>
      </c>
      <c r="C2073" t="str">
        <f t="shared" si="52"/>
        <v>51</v>
      </c>
    </row>
    <row r="2074" spans="1:3" x14ac:dyDescent="0.25">
      <c r="A2074" t="s">
        <v>1574</v>
      </c>
      <c r="B2074" t="str">
        <f>"51.2308"</f>
        <v>51.2308</v>
      </c>
      <c r="C2074" t="str">
        <f t="shared" si="52"/>
        <v>51</v>
      </c>
    </row>
    <row r="2075" spans="1:3" x14ac:dyDescent="0.25">
      <c r="A2075" t="s">
        <v>1575</v>
      </c>
      <c r="B2075" t="str">
        <f>"51.2309"</f>
        <v>51.2309</v>
      </c>
      <c r="C2075" t="str">
        <f t="shared" si="52"/>
        <v>51</v>
      </c>
    </row>
    <row r="2076" spans="1:3" x14ac:dyDescent="0.25">
      <c r="A2076" t="s">
        <v>1576</v>
      </c>
      <c r="B2076" t="str">
        <f>"51.2310"</f>
        <v>51.2310</v>
      </c>
      <c r="C2076" t="str">
        <f t="shared" si="52"/>
        <v>51</v>
      </c>
    </row>
    <row r="2077" spans="1:3" x14ac:dyDescent="0.25">
      <c r="A2077" t="s">
        <v>1577</v>
      </c>
      <c r="B2077" t="str">
        <f>"51.2311"</f>
        <v>51.2311</v>
      </c>
      <c r="C2077" t="str">
        <f t="shared" si="52"/>
        <v>51</v>
      </c>
    </row>
    <row r="2078" spans="1:3" x14ac:dyDescent="0.25">
      <c r="A2078" t="s">
        <v>1578</v>
      </c>
      <c r="B2078" t="str">
        <f>"51.2312"</f>
        <v>51.2312</v>
      </c>
      <c r="C2078" t="str">
        <f t="shared" si="52"/>
        <v>51</v>
      </c>
    </row>
    <row r="2079" spans="1:3" x14ac:dyDescent="0.25">
      <c r="A2079" t="s">
        <v>1579</v>
      </c>
      <c r="B2079" t="str">
        <f>"51.2313"</f>
        <v>51.2313</v>
      </c>
      <c r="C2079" t="str">
        <f t="shared" si="52"/>
        <v>51</v>
      </c>
    </row>
    <row r="2080" spans="1:3" x14ac:dyDescent="0.25">
      <c r="A2080" t="s">
        <v>1580</v>
      </c>
      <c r="B2080" t="str">
        <f>"51.2314"</f>
        <v>51.2314</v>
      </c>
      <c r="C2080" t="str">
        <f t="shared" si="52"/>
        <v>51</v>
      </c>
    </row>
    <row r="2081" spans="1:3" x14ac:dyDescent="0.25">
      <c r="A2081" t="s">
        <v>2140</v>
      </c>
      <c r="B2081" t="str">
        <f>"51.2315"</f>
        <v>51.2315</v>
      </c>
      <c r="C2081" t="str">
        <f t="shared" si="52"/>
        <v>51</v>
      </c>
    </row>
    <row r="2082" spans="1:3" x14ac:dyDescent="0.25">
      <c r="A2082" t="s">
        <v>2141</v>
      </c>
      <c r="B2082" t="str">
        <f>"51.2316"</f>
        <v>51.2316</v>
      </c>
      <c r="C2082" t="str">
        <f t="shared" si="52"/>
        <v>51</v>
      </c>
    </row>
    <row r="2083" spans="1:3" x14ac:dyDescent="0.25">
      <c r="A2083" t="s">
        <v>2142</v>
      </c>
      <c r="B2083" t="str">
        <f>"51.2317"</f>
        <v>51.2317</v>
      </c>
      <c r="C2083" t="str">
        <f t="shared" si="52"/>
        <v>51</v>
      </c>
    </row>
    <row r="2084" spans="1:3" x14ac:dyDescent="0.25">
      <c r="A2084" t="s">
        <v>1581</v>
      </c>
      <c r="B2084" t="str">
        <f>"51.2399"</f>
        <v>51.2399</v>
      </c>
      <c r="C2084" t="str">
        <f t="shared" si="52"/>
        <v>51</v>
      </c>
    </row>
    <row r="2085" spans="1:3" x14ac:dyDescent="0.25">
      <c r="A2085" t="s">
        <v>1582</v>
      </c>
      <c r="B2085" t="str">
        <f>"51.24"</f>
        <v>51.24</v>
      </c>
      <c r="C2085" t="str">
        <f t="shared" si="52"/>
        <v>51</v>
      </c>
    </row>
    <row r="2086" spans="1:3" x14ac:dyDescent="0.25">
      <c r="A2086" t="s">
        <v>1582</v>
      </c>
      <c r="B2086" t="str">
        <f>"51.2401"</f>
        <v>51.2401</v>
      </c>
      <c r="C2086" t="str">
        <f t="shared" si="52"/>
        <v>51</v>
      </c>
    </row>
    <row r="2087" spans="1:3" x14ac:dyDescent="0.25">
      <c r="A2087" t="s">
        <v>1583</v>
      </c>
      <c r="B2087" t="str">
        <f>"51.25"</f>
        <v>51.25</v>
      </c>
      <c r="C2087" t="str">
        <f t="shared" si="52"/>
        <v>51</v>
      </c>
    </row>
    <row r="2088" spans="1:3" x14ac:dyDescent="0.25">
      <c r="A2088" t="s">
        <v>1584</v>
      </c>
      <c r="B2088" t="str">
        <f>"51.2501"</f>
        <v>51.2501</v>
      </c>
      <c r="C2088" t="str">
        <f t="shared" si="52"/>
        <v>51</v>
      </c>
    </row>
    <row r="2089" spans="1:3" x14ac:dyDescent="0.25">
      <c r="A2089" t="s">
        <v>1585</v>
      </c>
      <c r="B2089" t="str">
        <f>"51.2502"</f>
        <v>51.2502</v>
      </c>
      <c r="C2089" t="str">
        <f t="shared" si="52"/>
        <v>51</v>
      </c>
    </row>
    <row r="2090" spans="1:3" x14ac:dyDescent="0.25">
      <c r="A2090" t="s">
        <v>1586</v>
      </c>
      <c r="B2090" t="str">
        <f>"51.2503"</f>
        <v>51.2503</v>
      </c>
      <c r="C2090" t="str">
        <f t="shared" si="52"/>
        <v>51</v>
      </c>
    </row>
    <row r="2091" spans="1:3" x14ac:dyDescent="0.25">
      <c r="A2091" t="s">
        <v>1587</v>
      </c>
      <c r="B2091" t="str">
        <f>"51.2504"</f>
        <v>51.2504</v>
      </c>
      <c r="C2091" t="str">
        <f t="shared" si="52"/>
        <v>51</v>
      </c>
    </row>
    <row r="2092" spans="1:3" x14ac:dyDescent="0.25">
      <c r="A2092" t="s">
        <v>1588</v>
      </c>
      <c r="B2092" t="str">
        <f>"51.2505"</f>
        <v>51.2505</v>
      </c>
      <c r="C2092" t="str">
        <f t="shared" si="52"/>
        <v>51</v>
      </c>
    </row>
    <row r="2093" spans="1:3" x14ac:dyDescent="0.25">
      <c r="A2093" t="s">
        <v>1589</v>
      </c>
      <c r="B2093" t="str">
        <f>"51.2506"</f>
        <v>51.2506</v>
      </c>
      <c r="C2093" t="str">
        <f t="shared" si="52"/>
        <v>51</v>
      </c>
    </row>
    <row r="2094" spans="1:3" x14ac:dyDescent="0.25">
      <c r="A2094" t="s">
        <v>1590</v>
      </c>
      <c r="B2094" t="str">
        <f>"51.2507"</f>
        <v>51.2507</v>
      </c>
      <c r="C2094" t="str">
        <f t="shared" si="52"/>
        <v>51</v>
      </c>
    </row>
    <row r="2095" spans="1:3" x14ac:dyDescent="0.25">
      <c r="A2095" t="s">
        <v>1591</v>
      </c>
      <c r="B2095" t="str">
        <f>"51.2508"</f>
        <v>51.2508</v>
      </c>
      <c r="C2095" t="str">
        <f t="shared" si="52"/>
        <v>51</v>
      </c>
    </row>
    <row r="2096" spans="1:3" x14ac:dyDescent="0.25">
      <c r="A2096" t="s">
        <v>1592</v>
      </c>
      <c r="B2096" t="str">
        <f>"51.2509"</f>
        <v>51.2509</v>
      </c>
      <c r="C2096" t="str">
        <f t="shared" si="52"/>
        <v>51</v>
      </c>
    </row>
    <row r="2097" spans="1:3" x14ac:dyDescent="0.25">
      <c r="A2097" t="s">
        <v>1593</v>
      </c>
      <c r="B2097" t="str">
        <f>"51.2510"</f>
        <v>51.2510</v>
      </c>
      <c r="C2097" t="str">
        <f t="shared" si="52"/>
        <v>51</v>
      </c>
    </row>
    <row r="2098" spans="1:3" x14ac:dyDescent="0.25">
      <c r="A2098" t="s">
        <v>1594</v>
      </c>
      <c r="B2098" t="str">
        <f>"51.2511"</f>
        <v>51.2511</v>
      </c>
      <c r="C2098" t="str">
        <f t="shared" si="52"/>
        <v>51</v>
      </c>
    </row>
    <row r="2099" spans="1:3" x14ac:dyDescent="0.25">
      <c r="A2099" t="s">
        <v>1595</v>
      </c>
      <c r="B2099" t="str">
        <f>"51.2599"</f>
        <v>51.2599</v>
      </c>
      <c r="C2099" t="str">
        <f t="shared" si="52"/>
        <v>51</v>
      </c>
    </row>
    <row r="2100" spans="1:3" x14ac:dyDescent="0.25">
      <c r="A2100" t="s">
        <v>1596</v>
      </c>
      <c r="B2100" t="str">
        <f>"51.26"</f>
        <v>51.26</v>
      </c>
      <c r="C2100" t="str">
        <f t="shared" si="52"/>
        <v>51</v>
      </c>
    </row>
    <row r="2101" spans="1:3" x14ac:dyDescent="0.25">
      <c r="A2101" t="s">
        <v>1597</v>
      </c>
      <c r="B2101" t="str">
        <f>"51.2601"</f>
        <v>51.2601</v>
      </c>
      <c r="C2101" t="str">
        <f t="shared" si="52"/>
        <v>51</v>
      </c>
    </row>
    <row r="2102" spans="1:3" x14ac:dyDescent="0.25">
      <c r="A2102" t="s">
        <v>1598</v>
      </c>
      <c r="B2102" t="str">
        <f>"51.2602"</f>
        <v>51.2602</v>
      </c>
      <c r="C2102" t="str">
        <f t="shared" si="52"/>
        <v>51</v>
      </c>
    </row>
    <row r="2103" spans="1:3" x14ac:dyDescent="0.25">
      <c r="A2103" t="s">
        <v>1599</v>
      </c>
      <c r="B2103" t="str">
        <f>"51.2603"</f>
        <v>51.2603</v>
      </c>
      <c r="C2103" t="str">
        <f t="shared" si="52"/>
        <v>51</v>
      </c>
    </row>
    <row r="2104" spans="1:3" x14ac:dyDescent="0.25">
      <c r="A2104" t="s">
        <v>1600</v>
      </c>
      <c r="B2104" t="str">
        <f>"51.2604"</f>
        <v>51.2604</v>
      </c>
      <c r="C2104" t="str">
        <f t="shared" si="52"/>
        <v>51</v>
      </c>
    </row>
    <row r="2105" spans="1:3" x14ac:dyDescent="0.25">
      <c r="A2105" t="s">
        <v>2143</v>
      </c>
      <c r="B2105" t="str">
        <f>"51.2605"</f>
        <v>51.2605</v>
      </c>
      <c r="C2105" t="str">
        <f t="shared" si="52"/>
        <v>51</v>
      </c>
    </row>
    <row r="2106" spans="1:3" x14ac:dyDescent="0.25">
      <c r="A2106" t="s">
        <v>1601</v>
      </c>
      <c r="B2106" t="str">
        <f>"51.2699"</f>
        <v>51.2699</v>
      </c>
      <c r="C2106" t="str">
        <f t="shared" si="52"/>
        <v>51</v>
      </c>
    </row>
    <row r="2107" spans="1:3" x14ac:dyDescent="0.25">
      <c r="A2107" t="s">
        <v>1602</v>
      </c>
      <c r="B2107" t="str">
        <f>"51.27"</f>
        <v>51.27</v>
      </c>
      <c r="C2107" t="str">
        <f t="shared" si="52"/>
        <v>51</v>
      </c>
    </row>
    <row r="2108" spans="1:3" x14ac:dyDescent="0.25">
      <c r="A2108" t="s">
        <v>1603</v>
      </c>
      <c r="B2108" t="str">
        <f>"51.2703"</f>
        <v>51.2703</v>
      </c>
      <c r="C2108" t="str">
        <f t="shared" si="52"/>
        <v>51</v>
      </c>
    </row>
    <row r="2109" spans="1:3" x14ac:dyDescent="0.25">
      <c r="A2109" t="s">
        <v>1604</v>
      </c>
      <c r="B2109" t="str">
        <f>"51.2706"</f>
        <v>51.2706</v>
      </c>
      <c r="C2109" t="str">
        <f t="shared" si="52"/>
        <v>51</v>
      </c>
    </row>
    <row r="2110" spans="1:3" x14ac:dyDescent="0.25">
      <c r="A2110" t="s">
        <v>1605</v>
      </c>
      <c r="B2110" t="str">
        <f>"51.2799"</f>
        <v>51.2799</v>
      </c>
      <c r="C2110" t="str">
        <f t="shared" si="52"/>
        <v>51</v>
      </c>
    </row>
    <row r="2111" spans="1:3" x14ac:dyDescent="0.25">
      <c r="A2111" t="s">
        <v>1606</v>
      </c>
      <c r="B2111" t="str">
        <f>"51.31"</f>
        <v>51.31</v>
      </c>
      <c r="C2111" t="str">
        <f t="shared" si="52"/>
        <v>51</v>
      </c>
    </row>
    <row r="2112" spans="1:3" x14ac:dyDescent="0.25">
      <c r="A2112" t="s">
        <v>1607</v>
      </c>
      <c r="B2112" t="str">
        <f>"51.3101"</f>
        <v>51.3101</v>
      </c>
      <c r="C2112" t="str">
        <f t="shared" si="52"/>
        <v>51</v>
      </c>
    </row>
    <row r="2113" spans="1:3" x14ac:dyDescent="0.25">
      <c r="A2113" t="s">
        <v>1608</v>
      </c>
      <c r="B2113" t="str">
        <f>"51.3102"</f>
        <v>51.3102</v>
      </c>
      <c r="C2113" t="str">
        <f t="shared" si="52"/>
        <v>51</v>
      </c>
    </row>
    <row r="2114" spans="1:3" x14ac:dyDescent="0.25">
      <c r="A2114" t="s">
        <v>1609</v>
      </c>
      <c r="B2114" t="str">
        <f>"51.3103"</f>
        <v>51.3103</v>
      </c>
      <c r="C2114" t="str">
        <f t="shared" si="52"/>
        <v>51</v>
      </c>
    </row>
    <row r="2115" spans="1:3" x14ac:dyDescent="0.25">
      <c r="A2115" t="s">
        <v>1610</v>
      </c>
      <c r="B2115" t="str">
        <f>"51.3104"</f>
        <v>51.3104</v>
      </c>
      <c r="C2115" t="str">
        <f t="shared" si="52"/>
        <v>51</v>
      </c>
    </row>
    <row r="2116" spans="1:3" x14ac:dyDescent="0.25">
      <c r="A2116" t="s">
        <v>1611</v>
      </c>
      <c r="B2116" t="str">
        <f>"51.3199"</f>
        <v>51.3199</v>
      </c>
      <c r="C2116" t="str">
        <f t="shared" si="52"/>
        <v>51</v>
      </c>
    </row>
    <row r="2117" spans="1:3" x14ac:dyDescent="0.25">
      <c r="A2117" t="s">
        <v>2144</v>
      </c>
      <c r="B2117" t="str">
        <f>"51.32"</f>
        <v>51.32</v>
      </c>
      <c r="C2117" t="str">
        <f t="shared" si="52"/>
        <v>51</v>
      </c>
    </row>
    <row r="2118" spans="1:3" x14ac:dyDescent="0.25">
      <c r="A2118" t="s">
        <v>1612</v>
      </c>
      <c r="B2118" t="str">
        <f>"51.3201"</f>
        <v>51.3201</v>
      </c>
      <c r="C2118" t="str">
        <f t="shared" si="52"/>
        <v>51</v>
      </c>
    </row>
    <row r="2119" spans="1:3" x14ac:dyDescent="0.25">
      <c r="A2119" t="s">
        <v>2145</v>
      </c>
      <c r="B2119" t="str">
        <f>"51.3202"</f>
        <v>51.3202</v>
      </c>
      <c r="C2119" t="str">
        <f t="shared" si="52"/>
        <v>51</v>
      </c>
    </row>
    <row r="2120" spans="1:3" x14ac:dyDescent="0.25">
      <c r="A2120" t="s">
        <v>1646</v>
      </c>
      <c r="B2120" t="str">
        <f>"51.3203"</f>
        <v>51.3203</v>
      </c>
      <c r="C2120" t="str">
        <f t="shared" si="52"/>
        <v>51</v>
      </c>
    </row>
    <row r="2121" spans="1:3" x14ac:dyDescent="0.25">
      <c r="A2121" t="s">
        <v>2146</v>
      </c>
      <c r="B2121" t="str">
        <f>"51.3204"</f>
        <v>51.3204</v>
      </c>
      <c r="C2121" t="str">
        <f t="shared" si="52"/>
        <v>51</v>
      </c>
    </row>
    <row r="2122" spans="1:3" x14ac:dyDescent="0.25">
      <c r="A2122" t="s">
        <v>2147</v>
      </c>
      <c r="B2122" t="str">
        <f>"51.3205"</f>
        <v>51.3205</v>
      </c>
      <c r="C2122" t="str">
        <f t="shared" si="52"/>
        <v>51</v>
      </c>
    </row>
    <row r="2123" spans="1:3" x14ac:dyDescent="0.25">
      <c r="A2123" t="s">
        <v>2148</v>
      </c>
      <c r="B2123" t="str">
        <f>"51.3206"</f>
        <v>51.3206</v>
      </c>
      <c r="C2123" t="str">
        <f t="shared" si="52"/>
        <v>51</v>
      </c>
    </row>
    <row r="2124" spans="1:3" x14ac:dyDescent="0.25">
      <c r="A2124" t="s">
        <v>2149</v>
      </c>
      <c r="B2124" t="str">
        <f>"51.3299"</f>
        <v>51.3299</v>
      </c>
      <c r="C2124" t="str">
        <f t="shared" si="52"/>
        <v>51</v>
      </c>
    </row>
    <row r="2125" spans="1:3" x14ac:dyDescent="0.25">
      <c r="A2125" t="s">
        <v>1613</v>
      </c>
      <c r="B2125" t="str">
        <f>"51.33"</f>
        <v>51.33</v>
      </c>
      <c r="C2125" t="str">
        <f t="shared" si="52"/>
        <v>51</v>
      </c>
    </row>
    <row r="2126" spans="1:3" x14ac:dyDescent="0.25">
      <c r="A2126" t="s">
        <v>1614</v>
      </c>
      <c r="B2126" t="str">
        <f>"51.3300"</f>
        <v>51.3300</v>
      </c>
      <c r="C2126" t="str">
        <f t="shared" ref="C2126:C2185" si="53">"51"</f>
        <v>51</v>
      </c>
    </row>
    <row r="2127" spans="1:3" x14ac:dyDescent="0.25">
      <c r="A2127" t="s">
        <v>1615</v>
      </c>
      <c r="B2127" t="str">
        <f>"51.3301"</f>
        <v>51.3301</v>
      </c>
      <c r="C2127" t="str">
        <f t="shared" si="53"/>
        <v>51</v>
      </c>
    </row>
    <row r="2128" spans="1:3" x14ac:dyDescent="0.25">
      <c r="A2128" t="s">
        <v>1616</v>
      </c>
      <c r="B2128" t="str">
        <f>"51.3302"</f>
        <v>51.3302</v>
      </c>
      <c r="C2128" t="str">
        <f t="shared" si="53"/>
        <v>51</v>
      </c>
    </row>
    <row r="2129" spans="1:3" x14ac:dyDescent="0.25">
      <c r="A2129" t="s">
        <v>1617</v>
      </c>
      <c r="B2129" t="str">
        <f>"51.3303"</f>
        <v>51.3303</v>
      </c>
      <c r="C2129" t="str">
        <f t="shared" si="53"/>
        <v>51</v>
      </c>
    </row>
    <row r="2130" spans="1:3" x14ac:dyDescent="0.25">
      <c r="A2130" t="s">
        <v>1618</v>
      </c>
      <c r="B2130" t="str">
        <f>"51.3304"</f>
        <v>51.3304</v>
      </c>
      <c r="C2130" t="str">
        <f t="shared" si="53"/>
        <v>51</v>
      </c>
    </row>
    <row r="2131" spans="1:3" x14ac:dyDescent="0.25">
      <c r="A2131" t="s">
        <v>1619</v>
      </c>
      <c r="B2131" t="str">
        <f>"51.3305"</f>
        <v>51.3305</v>
      </c>
      <c r="C2131" t="str">
        <f t="shared" si="53"/>
        <v>51</v>
      </c>
    </row>
    <row r="2132" spans="1:3" x14ac:dyDescent="0.25">
      <c r="A2132" t="s">
        <v>2150</v>
      </c>
      <c r="B2132" t="str">
        <f>"51.3306"</f>
        <v>51.3306</v>
      </c>
      <c r="C2132" t="str">
        <f t="shared" si="53"/>
        <v>51</v>
      </c>
    </row>
    <row r="2133" spans="1:3" x14ac:dyDescent="0.25">
      <c r="A2133" t="s">
        <v>1620</v>
      </c>
      <c r="B2133" t="str">
        <f>"51.3399"</f>
        <v>51.3399</v>
      </c>
      <c r="C2133" t="str">
        <f t="shared" si="53"/>
        <v>51</v>
      </c>
    </row>
    <row r="2134" spans="1:3" x14ac:dyDescent="0.25">
      <c r="A2134" t="s">
        <v>1621</v>
      </c>
      <c r="B2134" t="str">
        <f>"51.34"</f>
        <v>51.34</v>
      </c>
      <c r="C2134" t="str">
        <f t="shared" si="53"/>
        <v>51</v>
      </c>
    </row>
    <row r="2135" spans="1:3" x14ac:dyDescent="0.25">
      <c r="A2135" t="s">
        <v>1622</v>
      </c>
      <c r="B2135" t="str">
        <f>"51.3401"</f>
        <v>51.3401</v>
      </c>
      <c r="C2135" t="str">
        <f t="shared" si="53"/>
        <v>51</v>
      </c>
    </row>
    <row r="2136" spans="1:3" x14ac:dyDescent="0.25">
      <c r="A2136" t="s">
        <v>1623</v>
      </c>
      <c r="B2136" t="str">
        <f>"51.3499"</f>
        <v>51.3499</v>
      </c>
      <c r="C2136" t="str">
        <f t="shared" si="53"/>
        <v>51</v>
      </c>
    </row>
    <row r="2137" spans="1:3" x14ac:dyDescent="0.25">
      <c r="A2137" t="s">
        <v>1624</v>
      </c>
      <c r="B2137" t="str">
        <f>"51.35"</f>
        <v>51.35</v>
      </c>
      <c r="C2137" t="str">
        <f t="shared" si="53"/>
        <v>51</v>
      </c>
    </row>
    <row r="2138" spans="1:3" x14ac:dyDescent="0.25">
      <c r="A2138" t="s">
        <v>1625</v>
      </c>
      <c r="B2138" t="str">
        <f>"51.3501"</f>
        <v>51.3501</v>
      </c>
      <c r="C2138" t="str">
        <f t="shared" si="53"/>
        <v>51</v>
      </c>
    </row>
    <row r="2139" spans="1:3" x14ac:dyDescent="0.25">
      <c r="A2139" t="s">
        <v>1626</v>
      </c>
      <c r="B2139" t="str">
        <f>"51.3502"</f>
        <v>51.3502</v>
      </c>
      <c r="C2139" t="str">
        <f t="shared" si="53"/>
        <v>51</v>
      </c>
    </row>
    <row r="2140" spans="1:3" x14ac:dyDescent="0.25">
      <c r="A2140" t="s">
        <v>1627</v>
      </c>
      <c r="B2140" t="str">
        <f>"51.3503"</f>
        <v>51.3503</v>
      </c>
      <c r="C2140" t="str">
        <f t="shared" si="53"/>
        <v>51</v>
      </c>
    </row>
    <row r="2141" spans="1:3" x14ac:dyDescent="0.25">
      <c r="A2141" t="s">
        <v>1628</v>
      </c>
      <c r="B2141" t="str">
        <f>"51.3599"</f>
        <v>51.3599</v>
      </c>
      <c r="C2141" t="str">
        <f t="shared" si="53"/>
        <v>51</v>
      </c>
    </row>
    <row r="2142" spans="1:3" x14ac:dyDescent="0.25">
      <c r="A2142" t="s">
        <v>1629</v>
      </c>
      <c r="B2142" t="str">
        <f>"51.36"</f>
        <v>51.36</v>
      </c>
      <c r="C2142" t="str">
        <f t="shared" si="53"/>
        <v>51</v>
      </c>
    </row>
    <row r="2143" spans="1:3" x14ac:dyDescent="0.25">
      <c r="A2143" t="s">
        <v>1630</v>
      </c>
      <c r="B2143" t="str">
        <f>"51.3601"</f>
        <v>51.3601</v>
      </c>
      <c r="C2143" t="str">
        <f t="shared" si="53"/>
        <v>51</v>
      </c>
    </row>
    <row r="2144" spans="1:3" x14ac:dyDescent="0.25">
      <c r="A2144" t="s">
        <v>1631</v>
      </c>
      <c r="B2144" t="str">
        <f>"51.3602"</f>
        <v>51.3602</v>
      </c>
      <c r="C2144" t="str">
        <f t="shared" si="53"/>
        <v>51</v>
      </c>
    </row>
    <row r="2145" spans="1:3" x14ac:dyDescent="0.25">
      <c r="A2145" t="s">
        <v>1632</v>
      </c>
      <c r="B2145" t="str">
        <f>"51.3603"</f>
        <v>51.3603</v>
      </c>
      <c r="C2145" t="str">
        <f t="shared" si="53"/>
        <v>51</v>
      </c>
    </row>
    <row r="2146" spans="1:3" x14ac:dyDescent="0.25">
      <c r="A2146" t="s">
        <v>1633</v>
      </c>
      <c r="B2146" t="str">
        <f>"51.3699"</f>
        <v>51.3699</v>
      </c>
      <c r="C2146" t="str">
        <f t="shared" si="53"/>
        <v>51</v>
      </c>
    </row>
    <row r="2147" spans="1:3" x14ac:dyDescent="0.25">
      <c r="A2147" t="s">
        <v>1634</v>
      </c>
      <c r="B2147" t="str">
        <f>"51.37"</f>
        <v>51.37</v>
      </c>
      <c r="C2147" t="str">
        <f t="shared" si="53"/>
        <v>51</v>
      </c>
    </row>
    <row r="2148" spans="1:3" x14ac:dyDescent="0.25">
      <c r="A2148" t="s">
        <v>1635</v>
      </c>
      <c r="B2148" t="str">
        <f>"51.3701"</f>
        <v>51.3701</v>
      </c>
      <c r="C2148" t="str">
        <f t="shared" si="53"/>
        <v>51</v>
      </c>
    </row>
    <row r="2149" spans="1:3" x14ac:dyDescent="0.25">
      <c r="A2149" t="s">
        <v>1636</v>
      </c>
      <c r="B2149" t="str">
        <f>"51.3702"</f>
        <v>51.3702</v>
      </c>
      <c r="C2149" t="str">
        <f t="shared" si="53"/>
        <v>51</v>
      </c>
    </row>
    <row r="2150" spans="1:3" x14ac:dyDescent="0.25">
      <c r="A2150" t="s">
        <v>1637</v>
      </c>
      <c r="B2150" t="str">
        <f>"51.3703"</f>
        <v>51.3703</v>
      </c>
      <c r="C2150" t="str">
        <f t="shared" si="53"/>
        <v>51</v>
      </c>
    </row>
    <row r="2151" spans="1:3" x14ac:dyDescent="0.25">
      <c r="A2151" t="s">
        <v>1638</v>
      </c>
      <c r="B2151" t="str">
        <f>"51.3704"</f>
        <v>51.3704</v>
      </c>
      <c r="C2151" t="str">
        <f t="shared" si="53"/>
        <v>51</v>
      </c>
    </row>
    <row r="2152" spans="1:3" x14ac:dyDescent="0.25">
      <c r="A2152" t="s">
        <v>1639</v>
      </c>
      <c r="B2152" t="str">
        <f>"51.3799"</f>
        <v>51.3799</v>
      </c>
      <c r="C2152" t="str">
        <f t="shared" si="53"/>
        <v>51</v>
      </c>
    </row>
    <row r="2153" spans="1:3" x14ac:dyDescent="0.25">
      <c r="A2153" t="s">
        <v>1640</v>
      </c>
      <c r="B2153" t="str">
        <f>"51.38"</f>
        <v>51.38</v>
      </c>
      <c r="C2153" t="str">
        <f t="shared" si="53"/>
        <v>51</v>
      </c>
    </row>
    <row r="2154" spans="1:3" x14ac:dyDescent="0.25">
      <c r="A2154" t="s">
        <v>1641</v>
      </c>
      <c r="B2154" t="str">
        <f>"51.3801"</f>
        <v>51.3801</v>
      </c>
      <c r="C2154" t="str">
        <f t="shared" si="53"/>
        <v>51</v>
      </c>
    </row>
    <row r="2155" spans="1:3" x14ac:dyDescent="0.25">
      <c r="A2155" t="s">
        <v>1642</v>
      </c>
      <c r="B2155" t="str">
        <f>"51.3802"</f>
        <v>51.3802</v>
      </c>
      <c r="C2155" t="str">
        <f t="shared" si="53"/>
        <v>51</v>
      </c>
    </row>
    <row r="2156" spans="1:3" x14ac:dyDescent="0.25">
      <c r="A2156" t="s">
        <v>1523</v>
      </c>
      <c r="B2156" t="str">
        <f>"51.3803"</f>
        <v>51.3803</v>
      </c>
      <c r="C2156" t="str">
        <f t="shared" si="53"/>
        <v>51</v>
      </c>
    </row>
    <row r="2157" spans="1:3" x14ac:dyDescent="0.25">
      <c r="A2157" t="s">
        <v>1524</v>
      </c>
      <c r="B2157" t="str">
        <f>"51.3804"</f>
        <v>51.3804</v>
      </c>
      <c r="C2157" t="str">
        <f t="shared" si="53"/>
        <v>51</v>
      </c>
    </row>
    <row r="2158" spans="1:3" x14ac:dyDescent="0.25">
      <c r="A2158" t="s">
        <v>1643</v>
      </c>
      <c r="B2158" t="str">
        <f>"51.3805"</f>
        <v>51.3805</v>
      </c>
      <c r="C2158" t="str">
        <f t="shared" si="53"/>
        <v>51</v>
      </c>
    </row>
    <row r="2159" spans="1:3" x14ac:dyDescent="0.25">
      <c r="A2159" t="s">
        <v>1525</v>
      </c>
      <c r="B2159" t="str">
        <f>"51.3806"</f>
        <v>51.3806</v>
      </c>
      <c r="C2159" t="str">
        <f t="shared" si="53"/>
        <v>51</v>
      </c>
    </row>
    <row r="2160" spans="1:3" x14ac:dyDescent="0.25">
      <c r="A2160" t="s">
        <v>1526</v>
      </c>
      <c r="B2160" t="str">
        <f>"51.3807"</f>
        <v>51.3807</v>
      </c>
      <c r="C2160" t="str">
        <f t="shared" si="53"/>
        <v>51</v>
      </c>
    </row>
    <row r="2161" spans="1:3" x14ac:dyDescent="0.25">
      <c r="A2161" t="s">
        <v>1644</v>
      </c>
      <c r="B2161" t="str">
        <f>"51.3808"</f>
        <v>51.3808</v>
      </c>
      <c r="C2161" t="str">
        <f t="shared" si="53"/>
        <v>51</v>
      </c>
    </row>
    <row r="2162" spans="1:3" x14ac:dyDescent="0.25">
      <c r="A2162" t="s">
        <v>1527</v>
      </c>
      <c r="B2162" t="str">
        <f>"51.3809"</f>
        <v>51.3809</v>
      </c>
      <c r="C2162" t="str">
        <f t="shared" si="53"/>
        <v>51</v>
      </c>
    </row>
    <row r="2163" spans="1:3" x14ac:dyDescent="0.25">
      <c r="A2163" t="s">
        <v>1528</v>
      </c>
      <c r="B2163" t="str">
        <f>"51.3810"</f>
        <v>51.3810</v>
      </c>
      <c r="C2163" t="str">
        <f t="shared" si="53"/>
        <v>51</v>
      </c>
    </row>
    <row r="2164" spans="1:3" x14ac:dyDescent="0.25">
      <c r="A2164" t="s">
        <v>1529</v>
      </c>
      <c r="B2164" t="str">
        <f>"51.3811"</f>
        <v>51.3811</v>
      </c>
      <c r="C2164" t="str">
        <f t="shared" si="53"/>
        <v>51</v>
      </c>
    </row>
    <row r="2165" spans="1:3" x14ac:dyDescent="0.25">
      <c r="A2165" t="s">
        <v>1530</v>
      </c>
      <c r="B2165" t="str">
        <f>"51.3812"</f>
        <v>51.3812</v>
      </c>
      <c r="C2165" t="str">
        <f t="shared" si="53"/>
        <v>51</v>
      </c>
    </row>
    <row r="2166" spans="1:3" x14ac:dyDescent="0.25">
      <c r="A2166" t="s">
        <v>1531</v>
      </c>
      <c r="B2166" t="str">
        <f>"51.3813"</f>
        <v>51.3813</v>
      </c>
      <c r="C2166" t="str">
        <f t="shared" si="53"/>
        <v>51</v>
      </c>
    </row>
    <row r="2167" spans="1:3" x14ac:dyDescent="0.25">
      <c r="A2167" t="s">
        <v>1532</v>
      </c>
      <c r="B2167" t="str">
        <f>"51.3814"</f>
        <v>51.3814</v>
      </c>
      <c r="C2167" t="str">
        <f t="shared" si="53"/>
        <v>51</v>
      </c>
    </row>
    <row r="2168" spans="1:3" x14ac:dyDescent="0.25">
      <c r="A2168" t="s">
        <v>1533</v>
      </c>
      <c r="B2168" t="str">
        <f>"51.3815"</f>
        <v>51.3815</v>
      </c>
      <c r="C2168" t="str">
        <f t="shared" si="53"/>
        <v>51</v>
      </c>
    </row>
    <row r="2169" spans="1:3" x14ac:dyDescent="0.25">
      <c r="A2169" t="s">
        <v>1645</v>
      </c>
      <c r="B2169" t="str">
        <f>"51.3816"</f>
        <v>51.3816</v>
      </c>
      <c r="C2169" t="str">
        <f t="shared" si="53"/>
        <v>51</v>
      </c>
    </row>
    <row r="2170" spans="1:3" x14ac:dyDescent="0.25">
      <c r="A2170" t="s">
        <v>1646</v>
      </c>
      <c r="B2170" t="str">
        <f>"51.3817"</f>
        <v>51.3817</v>
      </c>
      <c r="C2170" t="str">
        <f t="shared" si="53"/>
        <v>51</v>
      </c>
    </row>
    <row r="2171" spans="1:3" x14ac:dyDescent="0.25">
      <c r="A2171" t="s">
        <v>1647</v>
      </c>
      <c r="B2171" t="str">
        <f>"51.3818"</f>
        <v>51.3818</v>
      </c>
      <c r="C2171" t="str">
        <f t="shared" si="53"/>
        <v>51</v>
      </c>
    </row>
    <row r="2172" spans="1:3" x14ac:dyDescent="0.25">
      <c r="A2172" t="s">
        <v>1648</v>
      </c>
      <c r="B2172" t="str">
        <f>"51.3819"</f>
        <v>51.3819</v>
      </c>
      <c r="C2172" t="str">
        <f t="shared" si="53"/>
        <v>51</v>
      </c>
    </row>
    <row r="2173" spans="1:3" x14ac:dyDescent="0.25">
      <c r="A2173" t="s">
        <v>1649</v>
      </c>
      <c r="B2173" t="str">
        <f>"51.3820"</f>
        <v>51.3820</v>
      </c>
      <c r="C2173" t="str">
        <f t="shared" si="53"/>
        <v>51</v>
      </c>
    </row>
    <row r="2174" spans="1:3" x14ac:dyDescent="0.25">
      <c r="A2174" t="s">
        <v>1650</v>
      </c>
      <c r="B2174" t="str">
        <f>"51.3821"</f>
        <v>51.3821</v>
      </c>
      <c r="C2174" t="str">
        <f t="shared" si="53"/>
        <v>51</v>
      </c>
    </row>
    <row r="2175" spans="1:3" x14ac:dyDescent="0.25">
      <c r="A2175" t="s">
        <v>1651</v>
      </c>
      <c r="B2175" t="str">
        <f>"51.3822"</f>
        <v>51.3822</v>
      </c>
      <c r="C2175" t="str">
        <f t="shared" si="53"/>
        <v>51</v>
      </c>
    </row>
    <row r="2176" spans="1:3" x14ac:dyDescent="0.25">
      <c r="A2176" t="s">
        <v>1793</v>
      </c>
      <c r="B2176" t="str">
        <f>"51.3823"</f>
        <v>51.3823</v>
      </c>
      <c r="C2176" t="str">
        <f t="shared" si="53"/>
        <v>51</v>
      </c>
    </row>
    <row r="2177" spans="1:3" x14ac:dyDescent="0.25">
      <c r="A2177" t="s">
        <v>2151</v>
      </c>
      <c r="B2177" t="str">
        <f>"51.3824"</f>
        <v>51.3824</v>
      </c>
      <c r="C2177" t="str">
        <f t="shared" si="53"/>
        <v>51</v>
      </c>
    </row>
    <row r="2178" spans="1:3" x14ac:dyDescent="0.25">
      <c r="A2178" t="s">
        <v>1652</v>
      </c>
      <c r="B2178" t="str">
        <f>"51.3899"</f>
        <v>51.3899</v>
      </c>
      <c r="C2178" t="str">
        <f t="shared" si="53"/>
        <v>51</v>
      </c>
    </row>
    <row r="2179" spans="1:3" x14ac:dyDescent="0.25">
      <c r="A2179" t="s">
        <v>1653</v>
      </c>
      <c r="B2179" t="str">
        <f>"51.39"</f>
        <v>51.39</v>
      </c>
      <c r="C2179" t="str">
        <f t="shared" si="53"/>
        <v>51</v>
      </c>
    </row>
    <row r="2180" spans="1:3" x14ac:dyDescent="0.25">
      <c r="A2180" t="s">
        <v>1654</v>
      </c>
      <c r="B2180" t="str">
        <f>"51.3901"</f>
        <v>51.3901</v>
      </c>
      <c r="C2180" t="str">
        <f t="shared" si="53"/>
        <v>51</v>
      </c>
    </row>
    <row r="2181" spans="1:3" x14ac:dyDescent="0.25">
      <c r="A2181" t="s">
        <v>1655</v>
      </c>
      <c r="B2181" t="str">
        <f>"51.3902"</f>
        <v>51.3902</v>
      </c>
      <c r="C2181" t="str">
        <f t="shared" si="53"/>
        <v>51</v>
      </c>
    </row>
    <row r="2182" spans="1:3" x14ac:dyDescent="0.25">
      <c r="A2182" t="s">
        <v>1656</v>
      </c>
      <c r="B2182" t="str">
        <f>"51.3999"</f>
        <v>51.3999</v>
      </c>
      <c r="C2182" t="str">
        <f t="shared" si="53"/>
        <v>51</v>
      </c>
    </row>
    <row r="2183" spans="1:3" x14ac:dyDescent="0.25">
      <c r="A2183" t="s">
        <v>1657</v>
      </c>
      <c r="B2183" t="str">
        <f>"51.99"</f>
        <v>51.99</v>
      </c>
      <c r="C2183" t="str">
        <f t="shared" si="53"/>
        <v>51</v>
      </c>
    </row>
    <row r="2184" spans="1:3" x14ac:dyDescent="0.25">
      <c r="A2184" t="s">
        <v>1793</v>
      </c>
      <c r="B2184" t="str">
        <f>"51.9980"</f>
        <v>51.9980</v>
      </c>
      <c r="C2184" t="str">
        <f t="shared" si="53"/>
        <v>51</v>
      </c>
    </row>
    <row r="2185" spans="1:3" x14ac:dyDescent="0.25">
      <c r="A2185" t="s">
        <v>1657</v>
      </c>
      <c r="B2185" t="str">
        <f>"51.9999"</f>
        <v>51.9999</v>
      </c>
      <c r="C2185" t="str">
        <f t="shared" si="53"/>
        <v>51</v>
      </c>
    </row>
    <row r="2186" spans="1:3" x14ac:dyDescent="0.25">
      <c r="A2186" t="s">
        <v>1658</v>
      </c>
      <c r="B2186" t="str">
        <f>"52"</f>
        <v>52</v>
      </c>
      <c r="C2186" t="str">
        <f>"52"</f>
        <v>52</v>
      </c>
    </row>
    <row r="2187" spans="1:3" x14ac:dyDescent="0.25">
      <c r="A2187" t="s">
        <v>1659</v>
      </c>
      <c r="B2187" t="str">
        <f>"52.01"</f>
        <v>52.01</v>
      </c>
      <c r="C2187" t="str">
        <f t="shared" ref="C2187:C2250" si="54">"52"</f>
        <v>52</v>
      </c>
    </row>
    <row r="2188" spans="1:3" x14ac:dyDescent="0.25">
      <c r="A2188" t="s">
        <v>1659</v>
      </c>
      <c r="B2188" t="str">
        <f>"52.0101"</f>
        <v>52.0101</v>
      </c>
      <c r="C2188" t="str">
        <f t="shared" si="54"/>
        <v>52</v>
      </c>
    </row>
    <row r="2189" spans="1:3" x14ac:dyDescent="0.25">
      <c r="A2189" t="s">
        <v>1660</v>
      </c>
      <c r="B2189" t="str">
        <f>"52.02"</f>
        <v>52.02</v>
      </c>
      <c r="C2189" t="str">
        <f t="shared" si="54"/>
        <v>52</v>
      </c>
    </row>
    <row r="2190" spans="1:3" x14ac:dyDescent="0.25">
      <c r="A2190" t="s">
        <v>1661</v>
      </c>
      <c r="B2190" t="str">
        <f>"52.0201"</f>
        <v>52.0201</v>
      </c>
      <c r="C2190" t="str">
        <f t="shared" si="54"/>
        <v>52</v>
      </c>
    </row>
    <row r="2191" spans="1:3" x14ac:dyDescent="0.25">
      <c r="A2191" t="s">
        <v>1662</v>
      </c>
      <c r="B2191" t="str">
        <f>"52.0202"</f>
        <v>52.0202</v>
      </c>
      <c r="C2191" t="str">
        <f t="shared" si="54"/>
        <v>52</v>
      </c>
    </row>
    <row r="2192" spans="1:3" x14ac:dyDescent="0.25">
      <c r="A2192" t="s">
        <v>1663</v>
      </c>
      <c r="B2192" t="str">
        <f>"52.0203"</f>
        <v>52.0203</v>
      </c>
      <c r="C2192" t="str">
        <f t="shared" si="54"/>
        <v>52</v>
      </c>
    </row>
    <row r="2193" spans="1:3" x14ac:dyDescent="0.25">
      <c r="A2193" t="s">
        <v>1664</v>
      </c>
      <c r="B2193" t="str">
        <f>"52.0204"</f>
        <v>52.0204</v>
      </c>
      <c r="C2193" t="str">
        <f t="shared" si="54"/>
        <v>52</v>
      </c>
    </row>
    <row r="2194" spans="1:3" x14ac:dyDescent="0.25">
      <c r="A2194" t="s">
        <v>1665</v>
      </c>
      <c r="B2194" t="str">
        <f>"52.0205"</f>
        <v>52.0205</v>
      </c>
      <c r="C2194" t="str">
        <f t="shared" si="54"/>
        <v>52</v>
      </c>
    </row>
    <row r="2195" spans="1:3" x14ac:dyDescent="0.25">
      <c r="A2195" t="s">
        <v>1666</v>
      </c>
      <c r="B2195" t="str">
        <f>"52.0206"</f>
        <v>52.0206</v>
      </c>
      <c r="C2195" t="str">
        <f t="shared" si="54"/>
        <v>52</v>
      </c>
    </row>
    <row r="2196" spans="1:3" x14ac:dyDescent="0.25">
      <c r="A2196" t="s">
        <v>1667</v>
      </c>
      <c r="B2196" t="str">
        <f>"52.0207"</f>
        <v>52.0207</v>
      </c>
      <c r="C2196" t="str">
        <f t="shared" si="54"/>
        <v>52</v>
      </c>
    </row>
    <row r="2197" spans="1:3" x14ac:dyDescent="0.25">
      <c r="A2197" t="s">
        <v>1668</v>
      </c>
      <c r="B2197" t="str">
        <f>"52.0208"</f>
        <v>52.0208</v>
      </c>
      <c r="C2197" t="str">
        <f t="shared" si="54"/>
        <v>52</v>
      </c>
    </row>
    <row r="2198" spans="1:3" x14ac:dyDescent="0.25">
      <c r="A2198" t="s">
        <v>1669</v>
      </c>
      <c r="B2198" t="str">
        <f>"52.0209"</f>
        <v>52.0209</v>
      </c>
      <c r="C2198" t="str">
        <f t="shared" si="54"/>
        <v>52</v>
      </c>
    </row>
    <row r="2199" spans="1:3" x14ac:dyDescent="0.25">
      <c r="A2199" t="s">
        <v>1670</v>
      </c>
      <c r="B2199" t="str">
        <f>"52.0210"</f>
        <v>52.0210</v>
      </c>
      <c r="C2199" t="str">
        <f t="shared" si="54"/>
        <v>52</v>
      </c>
    </row>
    <row r="2200" spans="1:3" x14ac:dyDescent="0.25">
      <c r="A2200" t="s">
        <v>1671</v>
      </c>
      <c r="B2200" t="str">
        <f>"52.0211"</f>
        <v>52.0211</v>
      </c>
      <c r="C2200" t="str">
        <f t="shared" si="54"/>
        <v>52</v>
      </c>
    </row>
    <row r="2201" spans="1:3" x14ac:dyDescent="0.25">
      <c r="A2201" t="s">
        <v>1672</v>
      </c>
      <c r="B2201" t="str">
        <f>"52.0212"</f>
        <v>52.0212</v>
      </c>
      <c r="C2201" t="str">
        <f t="shared" si="54"/>
        <v>52</v>
      </c>
    </row>
    <row r="2202" spans="1:3" x14ac:dyDescent="0.25">
      <c r="A2202" t="s">
        <v>1673</v>
      </c>
      <c r="B2202" t="str">
        <f>"52.0213"</f>
        <v>52.0213</v>
      </c>
      <c r="C2202" t="str">
        <f t="shared" si="54"/>
        <v>52</v>
      </c>
    </row>
    <row r="2203" spans="1:3" x14ac:dyDescent="0.25">
      <c r="A2203" t="s">
        <v>2152</v>
      </c>
      <c r="B2203" t="str">
        <f>"52.0214"</f>
        <v>52.0214</v>
      </c>
      <c r="C2203" t="str">
        <f t="shared" si="54"/>
        <v>52</v>
      </c>
    </row>
    <row r="2204" spans="1:3" x14ac:dyDescent="0.25">
      <c r="A2204" t="s">
        <v>2153</v>
      </c>
      <c r="B2204" t="str">
        <f>"52.0215"</f>
        <v>52.0215</v>
      </c>
      <c r="C2204" t="str">
        <f t="shared" si="54"/>
        <v>52</v>
      </c>
    </row>
    <row r="2205" spans="1:3" x14ac:dyDescent="0.25">
      <c r="A2205" t="s">
        <v>2154</v>
      </c>
      <c r="B2205" t="str">
        <f>"52.0216"</f>
        <v>52.0216</v>
      </c>
      <c r="C2205" t="str">
        <f t="shared" si="54"/>
        <v>52</v>
      </c>
    </row>
    <row r="2206" spans="1:3" x14ac:dyDescent="0.25">
      <c r="A2206" t="s">
        <v>1674</v>
      </c>
      <c r="B2206" t="str">
        <f>"52.0299"</f>
        <v>52.0299</v>
      </c>
      <c r="C2206" t="str">
        <f t="shared" si="54"/>
        <v>52</v>
      </c>
    </row>
    <row r="2207" spans="1:3" x14ac:dyDescent="0.25">
      <c r="A2207" t="s">
        <v>1675</v>
      </c>
      <c r="B2207" t="str">
        <f>"52.03"</f>
        <v>52.03</v>
      </c>
      <c r="C2207" t="str">
        <f t="shared" si="54"/>
        <v>52</v>
      </c>
    </row>
    <row r="2208" spans="1:3" x14ac:dyDescent="0.25">
      <c r="A2208" t="s">
        <v>1676</v>
      </c>
      <c r="B2208" t="str">
        <f>"52.0301"</f>
        <v>52.0301</v>
      </c>
      <c r="C2208" t="str">
        <f t="shared" si="54"/>
        <v>52</v>
      </c>
    </row>
    <row r="2209" spans="1:3" x14ac:dyDescent="0.25">
      <c r="A2209" t="s">
        <v>1677</v>
      </c>
      <c r="B2209" t="str">
        <f>"52.0302"</f>
        <v>52.0302</v>
      </c>
      <c r="C2209" t="str">
        <f t="shared" si="54"/>
        <v>52</v>
      </c>
    </row>
    <row r="2210" spans="1:3" x14ac:dyDescent="0.25">
      <c r="A2210" t="s">
        <v>1678</v>
      </c>
      <c r="B2210" t="str">
        <f>"52.0303"</f>
        <v>52.0303</v>
      </c>
      <c r="C2210" t="str">
        <f t="shared" si="54"/>
        <v>52</v>
      </c>
    </row>
    <row r="2211" spans="1:3" x14ac:dyDescent="0.25">
      <c r="A2211" t="s">
        <v>1679</v>
      </c>
      <c r="B2211" t="str">
        <f>"52.0304"</f>
        <v>52.0304</v>
      </c>
      <c r="C2211" t="str">
        <f t="shared" si="54"/>
        <v>52</v>
      </c>
    </row>
    <row r="2212" spans="1:3" x14ac:dyDescent="0.25">
      <c r="A2212" t="s">
        <v>1680</v>
      </c>
      <c r="B2212" t="str">
        <f>"52.0305"</f>
        <v>52.0305</v>
      </c>
      <c r="C2212" t="str">
        <f t="shared" si="54"/>
        <v>52</v>
      </c>
    </row>
    <row r="2213" spans="1:3" x14ac:dyDescent="0.25">
      <c r="A2213" t="s">
        <v>1681</v>
      </c>
      <c r="B2213" t="str">
        <f>"52.0399"</f>
        <v>52.0399</v>
      </c>
      <c r="C2213" t="str">
        <f t="shared" si="54"/>
        <v>52</v>
      </c>
    </row>
    <row r="2214" spans="1:3" x14ac:dyDescent="0.25">
      <c r="A2214" t="s">
        <v>1682</v>
      </c>
      <c r="B2214" t="str">
        <f>"52.04"</f>
        <v>52.04</v>
      </c>
      <c r="C2214" t="str">
        <f t="shared" si="54"/>
        <v>52</v>
      </c>
    </row>
    <row r="2215" spans="1:3" x14ac:dyDescent="0.25">
      <c r="A2215" t="s">
        <v>1683</v>
      </c>
      <c r="B2215" t="str">
        <f>"52.0401"</f>
        <v>52.0401</v>
      </c>
      <c r="C2215" t="str">
        <f t="shared" si="54"/>
        <v>52</v>
      </c>
    </row>
    <row r="2216" spans="1:3" x14ac:dyDescent="0.25">
      <c r="A2216" t="s">
        <v>1684</v>
      </c>
      <c r="B2216" t="str">
        <f>"52.0402"</f>
        <v>52.0402</v>
      </c>
      <c r="C2216" t="str">
        <f t="shared" si="54"/>
        <v>52</v>
      </c>
    </row>
    <row r="2217" spans="1:3" x14ac:dyDescent="0.25">
      <c r="A2217" t="s">
        <v>1685</v>
      </c>
      <c r="B2217" t="str">
        <f>"52.0406"</f>
        <v>52.0406</v>
      </c>
      <c r="C2217" t="str">
        <f t="shared" si="54"/>
        <v>52</v>
      </c>
    </row>
    <row r="2218" spans="1:3" x14ac:dyDescent="0.25">
      <c r="A2218" t="s">
        <v>1686</v>
      </c>
      <c r="B2218" t="str">
        <f>"52.0407"</f>
        <v>52.0407</v>
      </c>
      <c r="C2218" t="str">
        <f t="shared" si="54"/>
        <v>52</v>
      </c>
    </row>
    <row r="2219" spans="1:3" x14ac:dyDescent="0.25">
      <c r="A2219" t="s">
        <v>1687</v>
      </c>
      <c r="B2219" t="str">
        <f>"52.0408"</f>
        <v>52.0408</v>
      </c>
      <c r="C2219" t="str">
        <f t="shared" si="54"/>
        <v>52</v>
      </c>
    </row>
    <row r="2220" spans="1:3" x14ac:dyDescent="0.25">
      <c r="A2220" t="s">
        <v>1688</v>
      </c>
      <c r="B2220" t="str">
        <f>"52.0409"</f>
        <v>52.0409</v>
      </c>
      <c r="C2220" t="str">
        <f t="shared" si="54"/>
        <v>52</v>
      </c>
    </row>
    <row r="2221" spans="1:3" x14ac:dyDescent="0.25">
      <c r="A2221" t="s">
        <v>1689</v>
      </c>
      <c r="B2221" t="str">
        <f>"52.0410"</f>
        <v>52.0410</v>
      </c>
      <c r="C2221" t="str">
        <f t="shared" si="54"/>
        <v>52</v>
      </c>
    </row>
    <row r="2222" spans="1:3" x14ac:dyDescent="0.25">
      <c r="A2222" t="s">
        <v>1690</v>
      </c>
      <c r="B2222" t="str">
        <f>"52.0411"</f>
        <v>52.0411</v>
      </c>
      <c r="C2222" t="str">
        <f t="shared" si="54"/>
        <v>52</v>
      </c>
    </row>
    <row r="2223" spans="1:3" x14ac:dyDescent="0.25">
      <c r="A2223" t="s">
        <v>1691</v>
      </c>
      <c r="B2223" t="str">
        <f>"52.0499"</f>
        <v>52.0499</v>
      </c>
      <c r="C2223" t="str">
        <f t="shared" si="54"/>
        <v>52</v>
      </c>
    </row>
    <row r="2224" spans="1:3" x14ac:dyDescent="0.25">
      <c r="A2224" t="s">
        <v>1692</v>
      </c>
      <c r="B2224" t="str">
        <f>"52.05"</f>
        <v>52.05</v>
      </c>
      <c r="C2224" t="str">
        <f t="shared" si="54"/>
        <v>52</v>
      </c>
    </row>
    <row r="2225" spans="1:3" x14ac:dyDescent="0.25">
      <c r="A2225" t="s">
        <v>2155</v>
      </c>
      <c r="B2225" t="str">
        <f>"52.0501"</f>
        <v>52.0501</v>
      </c>
      <c r="C2225" t="str">
        <f t="shared" si="54"/>
        <v>52</v>
      </c>
    </row>
    <row r="2226" spans="1:3" x14ac:dyDescent="0.25">
      <c r="A2226" t="s">
        <v>2156</v>
      </c>
      <c r="B2226" t="str">
        <f>"52.0502"</f>
        <v>52.0502</v>
      </c>
      <c r="C2226" t="str">
        <f t="shared" si="54"/>
        <v>52</v>
      </c>
    </row>
    <row r="2227" spans="1:3" x14ac:dyDescent="0.25">
      <c r="A2227" t="s">
        <v>2157</v>
      </c>
      <c r="B2227" t="str">
        <f>"52.0599"</f>
        <v>52.0599</v>
      </c>
      <c r="C2227" t="str">
        <f t="shared" si="54"/>
        <v>52</v>
      </c>
    </row>
    <row r="2228" spans="1:3" x14ac:dyDescent="0.25">
      <c r="A2228" t="s">
        <v>1693</v>
      </c>
      <c r="B2228" t="str">
        <f>"52.06"</f>
        <v>52.06</v>
      </c>
      <c r="C2228" t="str">
        <f t="shared" si="54"/>
        <v>52</v>
      </c>
    </row>
    <row r="2229" spans="1:3" x14ac:dyDescent="0.25">
      <c r="A2229" t="s">
        <v>1693</v>
      </c>
      <c r="B2229" t="str">
        <f>"52.0601"</f>
        <v>52.0601</v>
      </c>
      <c r="C2229" t="str">
        <f t="shared" si="54"/>
        <v>52</v>
      </c>
    </row>
    <row r="2230" spans="1:3" x14ac:dyDescent="0.25">
      <c r="A2230" t="s">
        <v>1694</v>
      </c>
      <c r="B2230" t="str">
        <f>"52.07"</f>
        <v>52.07</v>
      </c>
      <c r="C2230" t="str">
        <f t="shared" si="54"/>
        <v>52</v>
      </c>
    </row>
    <row r="2231" spans="1:3" x14ac:dyDescent="0.25">
      <c r="A2231" t="s">
        <v>1695</v>
      </c>
      <c r="B2231" t="str">
        <f>"52.0701"</f>
        <v>52.0701</v>
      </c>
      <c r="C2231" t="str">
        <f t="shared" si="54"/>
        <v>52</v>
      </c>
    </row>
    <row r="2232" spans="1:3" x14ac:dyDescent="0.25">
      <c r="A2232" t="s">
        <v>1696</v>
      </c>
      <c r="B2232" t="str">
        <f>"52.0702"</f>
        <v>52.0702</v>
      </c>
      <c r="C2232" t="str">
        <f t="shared" si="54"/>
        <v>52</v>
      </c>
    </row>
    <row r="2233" spans="1:3" x14ac:dyDescent="0.25">
      <c r="A2233" t="s">
        <v>1697</v>
      </c>
      <c r="B2233" t="str">
        <f>"52.0703"</f>
        <v>52.0703</v>
      </c>
      <c r="C2233" t="str">
        <f t="shared" si="54"/>
        <v>52</v>
      </c>
    </row>
    <row r="2234" spans="1:3" x14ac:dyDescent="0.25">
      <c r="A2234" t="s">
        <v>2158</v>
      </c>
      <c r="B2234" t="str">
        <f>"52.0704"</f>
        <v>52.0704</v>
      </c>
      <c r="C2234" t="str">
        <f t="shared" si="54"/>
        <v>52</v>
      </c>
    </row>
    <row r="2235" spans="1:3" x14ac:dyDescent="0.25">
      <c r="A2235" t="s">
        <v>1698</v>
      </c>
      <c r="B2235" t="str">
        <f>"52.0799"</f>
        <v>52.0799</v>
      </c>
      <c r="C2235" t="str">
        <f t="shared" si="54"/>
        <v>52</v>
      </c>
    </row>
    <row r="2236" spans="1:3" x14ac:dyDescent="0.25">
      <c r="A2236" t="s">
        <v>1699</v>
      </c>
      <c r="B2236" t="str">
        <f>"52.08"</f>
        <v>52.08</v>
      </c>
      <c r="C2236" t="str">
        <f t="shared" si="54"/>
        <v>52</v>
      </c>
    </row>
    <row r="2237" spans="1:3" x14ac:dyDescent="0.25">
      <c r="A2237" t="s">
        <v>1700</v>
      </c>
      <c r="B2237" t="str">
        <f>"52.0801"</f>
        <v>52.0801</v>
      </c>
      <c r="C2237" t="str">
        <f t="shared" si="54"/>
        <v>52</v>
      </c>
    </row>
    <row r="2238" spans="1:3" x14ac:dyDescent="0.25">
      <c r="A2238" t="s">
        <v>1701</v>
      </c>
      <c r="B2238" t="str">
        <f>"52.0803"</f>
        <v>52.0803</v>
      </c>
      <c r="C2238" t="str">
        <f t="shared" si="54"/>
        <v>52</v>
      </c>
    </row>
    <row r="2239" spans="1:3" x14ac:dyDescent="0.25">
      <c r="A2239" t="s">
        <v>1702</v>
      </c>
      <c r="B2239" t="str">
        <f>"52.0804"</f>
        <v>52.0804</v>
      </c>
      <c r="C2239" t="str">
        <f t="shared" si="54"/>
        <v>52</v>
      </c>
    </row>
    <row r="2240" spans="1:3" x14ac:dyDescent="0.25">
      <c r="A2240" t="s">
        <v>1703</v>
      </c>
      <c r="B2240" t="str">
        <f>"52.0806"</f>
        <v>52.0806</v>
      </c>
      <c r="C2240" t="str">
        <f t="shared" si="54"/>
        <v>52</v>
      </c>
    </row>
    <row r="2241" spans="1:3" x14ac:dyDescent="0.25">
      <c r="A2241" t="s">
        <v>1704</v>
      </c>
      <c r="B2241" t="str">
        <f>"52.0807"</f>
        <v>52.0807</v>
      </c>
      <c r="C2241" t="str">
        <f t="shared" si="54"/>
        <v>52</v>
      </c>
    </row>
    <row r="2242" spans="1:3" x14ac:dyDescent="0.25">
      <c r="A2242" t="s">
        <v>1705</v>
      </c>
      <c r="B2242" t="str">
        <f>"52.0808"</f>
        <v>52.0808</v>
      </c>
      <c r="C2242" t="str">
        <f t="shared" si="54"/>
        <v>52</v>
      </c>
    </row>
    <row r="2243" spans="1:3" x14ac:dyDescent="0.25">
      <c r="A2243" t="s">
        <v>1706</v>
      </c>
      <c r="B2243" t="str">
        <f>"52.0809"</f>
        <v>52.0809</v>
      </c>
      <c r="C2243" t="str">
        <f t="shared" si="54"/>
        <v>52</v>
      </c>
    </row>
    <row r="2244" spans="1:3" x14ac:dyDescent="0.25">
      <c r="A2244" t="s">
        <v>2159</v>
      </c>
      <c r="B2244" t="str">
        <f>"52.0810"</f>
        <v>52.0810</v>
      </c>
      <c r="C2244" t="str">
        <f t="shared" si="54"/>
        <v>52</v>
      </c>
    </row>
    <row r="2245" spans="1:3" x14ac:dyDescent="0.25">
      <c r="A2245" t="s">
        <v>1707</v>
      </c>
      <c r="B2245" t="str">
        <f>"52.0899"</f>
        <v>52.0899</v>
      </c>
      <c r="C2245" t="str">
        <f t="shared" si="54"/>
        <v>52</v>
      </c>
    </row>
    <row r="2246" spans="1:3" x14ac:dyDescent="0.25">
      <c r="A2246" t="s">
        <v>1708</v>
      </c>
      <c r="B2246" t="str">
        <f>"52.09"</f>
        <v>52.09</v>
      </c>
      <c r="C2246" t="str">
        <f t="shared" si="54"/>
        <v>52</v>
      </c>
    </row>
    <row r="2247" spans="1:3" x14ac:dyDescent="0.25">
      <c r="A2247" t="s">
        <v>1709</v>
      </c>
      <c r="B2247" t="str">
        <f>"52.0901"</f>
        <v>52.0901</v>
      </c>
      <c r="C2247" t="str">
        <f t="shared" si="54"/>
        <v>52</v>
      </c>
    </row>
    <row r="2248" spans="1:3" x14ac:dyDescent="0.25">
      <c r="A2248" t="s">
        <v>1710</v>
      </c>
      <c r="B2248" t="str">
        <f>"52.0903"</f>
        <v>52.0903</v>
      </c>
      <c r="C2248" t="str">
        <f t="shared" si="54"/>
        <v>52</v>
      </c>
    </row>
    <row r="2249" spans="1:3" x14ac:dyDescent="0.25">
      <c r="A2249" t="s">
        <v>1711</v>
      </c>
      <c r="B2249" t="str">
        <f>"52.0904"</f>
        <v>52.0904</v>
      </c>
      <c r="C2249" t="str">
        <f t="shared" si="54"/>
        <v>52</v>
      </c>
    </row>
    <row r="2250" spans="1:3" x14ac:dyDescent="0.25">
      <c r="A2250" t="s">
        <v>1712</v>
      </c>
      <c r="B2250" t="str">
        <f>"52.0905"</f>
        <v>52.0905</v>
      </c>
      <c r="C2250" t="str">
        <f t="shared" si="54"/>
        <v>52</v>
      </c>
    </row>
    <row r="2251" spans="1:3" x14ac:dyDescent="0.25">
      <c r="A2251" t="s">
        <v>1713</v>
      </c>
      <c r="B2251" t="str">
        <f>"52.0906"</f>
        <v>52.0906</v>
      </c>
      <c r="C2251" t="str">
        <f t="shared" ref="C2251:C2314" si="55">"52"</f>
        <v>52</v>
      </c>
    </row>
    <row r="2252" spans="1:3" x14ac:dyDescent="0.25">
      <c r="A2252" t="s">
        <v>1714</v>
      </c>
      <c r="B2252" t="str">
        <f>"52.0907"</f>
        <v>52.0907</v>
      </c>
      <c r="C2252" t="str">
        <f t="shared" si="55"/>
        <v>52</v>
      </c>
    </row>
    <row r="2253" spans="1:3" x14ac:dyDescent="0.25">
      <c r="A2253" t="s">
        <v>1715</v>
      </c>
      <c r="B2253" t="str">
        <f>"52.0908"</f>
        <v>52.0908</v>
      </c>
      <c r="C2253" t="str">
        <f t="shared" si="55"/>
        <v>52</v>
      </c>
    </row>
    <row r="2254" spans="1:3" x14ac:dyDescent="0.25">
      <c r="A2254" t="s">
        <v>1716</v>
      </c>
      <c r="B2254" t="str">
        <f>"52.0909"</f>
        <v>52.0909</v>
      </c>
      <c r="C2254" t="str">
        <f t="shared" si="55"/>
        <v>52</v>
      </c>
    </row>
    <row r="2255" spans="1:3" x14ac:dyDescent="0.25">
      <c r="A2255" t="s">
        <v>2160</v>
      </c>
      <c r="B2255" t="str">
        <f>"52.0910"</f>
        <v>52.0910</v>
      </c>
      <c r="C2255" t="str">
        <f t="shared" si="55"/>
        <v>52</v>
      </c>
    </row>
    <row r="2256" spans="1:3" x14ac:dyDescent="0.25">
      <c r="A2256" t="s">
        <v>1717</v>
      </c>
      <c r="B2256" t="str">
        <f>"52.0999"</f>
        <v>52.0999</v>
      </c>
      <c r="C2256" t="str">
        <f t="shared" si="55"/>
        <v>52</v>
      </c>
    </row>
    <row r="2257" spans="1:3" x14ac:dyDescent="0.25">
      <c r="A2257" t="s">
        <v>1718</v>
      </c>
      <c r="B2257" t="str">
        <f>"52.10"</f>
        <v>52.10</v>
      </c>
      <c r="C2257" t="str">
        <f t="shared" si="55"/>
        <v>52</v>
      </c>
    </row>
    <row r="2258" spans="1:3" x14ac:dyDescent="0.25">
      <c r="A2258" t="s">
        <v>1719</v>
      </c>
      <c r="B2258" t="str">
        <f>"52.1001"</f>
        <v>52.1001</v>
      </c>
      <c r="C2258" t="str">
        <f t="shared" si="55"/>
        <v>52</v>
      </c>
    </row>
    <row r="2259" spans="1:3" x14ac:dyDescent="0.25">
      <c r="A2259" t="s">
        <v>1720</v>
      </c>
      <c r="B2259" t="str">
        <f>"52.1002"</f>
        <v>52.1002</v>
      </c>
      <c r="C2259" t="str">
        <f t="shared" si="55"/>
        <v>52</v>
      </c>
    </row>
    <row r="2260" spans="1:3" x14ac:dyDescent="0.25">
      <c r="A2260" t="s">
        <v>1721</v>
      </c>
      <c r="B2260" t="str">
        <f>"52.1003"</f>
        <v>52.1003</v>
      </c>
      <c r="C2260" t="str">
        <f t="shared" si="55"/>
        <v>52</v>
      </c>
    </row>
    <row r="2261" spans="1:3" x14ac:dyDescent="0.25">
      <c r="A2261" t="s">
        <v>1722</v>
      </c>
      <c r="B2261" t="str">
        <f>"52.1004"</f>
        <v>52.1004</v>
      </c>
      <c r="C2261" t="str">
        <f t="shared" si="55"/>
        <v>52</v>
      </c>
    </row>
    <row r="2262" spans="1:3" x14ac:dyDescent="0.25">
      <c r="A2262" t="s">
        <v>1723</v>
      </c>
      <c r="B2262" t="str">
        <f>"52.1005"</f>
        <v>52.1005</v>
      </c>
      <c r="C2262" t="str">
        <f t="shared" si="55"/>
        <v>52</v>
      </c>
    </row>
    <row r="2263" spans="1:3" x14ac:dyDescent="0.25">
      <c r="A2263" t="s">
        <v>2161</v>
      </c>
      <c r="B2263" t="str">
        <f>"52.1006"</f>
        <v>52.1006</v>
      </c>
      <c r="C2263" t="str">
        <f t="shared" si="55"/>
        <v>52</v>
      </c>
    </row>
    <row r="2264" spans="1:3" x14ac:dyDescent="0.25">
      <c r="A2264" t="s">
        <v>1724</v>
      </c>
      <c r="B2264" t="str">
        <f>"52.1099"</f>
        <v>52.1099</v>
      </c>
      <c r="C2264" t="str">
        <f t="shared" si="55"/>
        <v>52</v>
      </c>
    </row>
    <row r="2265" spans="1:3" x14ac:dyDescent="0.25">
      <c r="A2265" t="s">
        <v>1725</v>
      </c>
      <c r="B2265" t="str">
        <f>"52.11"</f>
        <v>52.11</v>
      </c>
      <c r="C2265" t="str">
        <f t="shared" si="55"/>
        <v>52</v>
      </c>
    </row>
    <row r="2266" spans="1:3" x14ac:dyDescent="0.25">
      <c r="A2266" t="s">
        <v>2162</v>
      </c>
      <c r="B2266" t="str">
        <f>"52.1101"</f>
        <v>52.1101</v>
      </c>
      <c r="C2266" t="str">
        <f t="shared" si="55"/>
        <v>52</v>
      </c>
    </row>
    <row r="2267" spans="1:3" x14ac:dyDescent="0.25">
      <c r="A2267" t="s">
        <v>1726</v>
      </c>
      <c r="B2267" t="str">
        <f>"52.12"</f>
        <v>52.12</v>
      </c>
      <c r="C2267" t="str">
        <f t="shared" si="55"/>
        <v>52</v>
      </c>
    </row>
    <row r="2268" spans="1:3" x14ac:dyDescent="0.25">
      <c r="A2268" t="s">
        <v>1727</v>
      </c>
      <c r="B2268" t="str">
        <f>"52.1201"</f>
        <v>52.1201</v>
      </c>
      <c r="C2268" t="str">
        <f t="shared" si="55"/>
        <v>52</v>
      </c>
    </row>
    <row r="2269" spans="1:3" x14ac:dyDescent="0.25">
      <c r="A2269" t="s">
        <v>1728</v>
      </c>
      <c r="B2269" t="str">
        <f>"52.1206"</f>
        <v>52.1206</v>
      </c>
      <c r="C2269" t="str">
        <f t="shared" si="55"/>
        <v>52</v>
      </c>
    </row>
    <row r="2270" spans="1:3" x14ac:dyDescent="0.25">
      <c r="A2270" t="s">
        <v>1729</v>
      </c>
      <c r="B2270" t="str">
        <f>"52.1207"</f>
        <v>52.1207</v>
      </c>
      <c r="C2270" t="str">
        <f t="shared" si="55"/>
        <v>52</v>
      </c>
    </row>
    <row r="2271" spans="1:3" x14ac:dyDescent="0.25">
      <c r="A2271" t="s">
        <v>1730</v>
      </c>
      <c r="B2271" t="str">
        <f>"52.1299"</f>
        <v>52.1299</v>
      </c>
      <c r="C2271" t="str">
        <f t="shared" si="55"/>
        <v>52</v>
      </c>
    </row>
    <row r="2272" spans="1:3" x14ac:dyDescent="0.25">
      <c r="A2272" t="s">
        <v>1731</v>
      </c>
      <c r="B2272" t="str">
        <f>"52.13"</f>
        <v>52.13</v>
      </c>
      <c r="C2272" t="str">
        <f t="shared" si="55"/>
        <v>52</v>
      </c>
    </row>
    <row r="2273" spans="1:3" x14ac:dyDescent="0.25">
      <c r="A2273" t="s">
        <v>1732</v>
      </c>
      <c r="B2273" t="str">
        <f>"52.1301"</f>
        <v>52.1301</v>
      </c>
      <c r="C2273" t="str">
        <f t="shared" si="55"/>
        <v>52</v>
      </c>
    </row>
    <row r="2274" spans="1:3" x14ac:dyDescent="0.25">
      <c r="A2274" t="s">
        <v>1733</v>
      </c>
      <c r="B2274" t="str">
        <f>"52.1302"</f>
        <v>52.1302</v>
      </c>
      <c r="C2274" t="str">
        <f t="shared" si="55"/>
        <v>52</v>
      </c>
    </row>
    <row r="2275" spans="1:3" x14ac:dyDescent="0.25">
      <c r="A2275" t="s">
        <v>1734</v>
      </c>
      <c r="B2275" t="str">
        <f>"52.1304"</f>
        <v>52.1304</v>
      </c>
      <c r="C2275" t="str">
        <f t="shared" si="55"/>
        <v>52</v>
      </c>
    </row>
    <row r="2276" spans="1:3" x14ac:dyDescent="0.25">
      <c r="A2276" t="s">
        <v>1735</v>
      </c>
      <c r="B2276" t="str">
        <f>"52.1399"</f>
        <v>52.1399</v>
      </c>
      <c r="C2276" t="str">
        <f t="shared" si="55"/>
        <v>52</v>
      </c>
    </row>
    <row r="2277" spans="1:3" x14ac:dyDescent="0.25">
      <c r="A2277" t="s">
        <v>1736</v>
      </c>
      <c r="B2277" t="str">
        <f>"52.14"</f>
        <v>52.14</v>
      </c>
      <c r="C2277" t="str">
        <f t="shared" si="55"/>
        <v>52</v>
      </c>
    </row>
    <row r="2278" spans="1:3" x14ac:dyDescent="0.25">
      <c r="A2278" t="s">
        <v>1737</v>
      </c>
      <c r="B2278" t="str">
        <f>"52.1401"</f>
        <v>52.1401</v>
      </c>
      <c r="C2278" t="str">
        <f t="shared" si="55"/>
        <v>52</v>
      </c>
    </row>
    <row r="2279" spans="1:3" x14ac:dyDescent="0.25">
      <c r="A2279" t="s">
        <v>1738</v>
      </c>
      <c r="B2279" t="str">
        <f>"52.1402"</f>
        <v>52.1402</v>
      </c>
      <c r="C2279" t="str">
        <f t="shared" si="55"/>
        <v>52</v>
      </c>
    </row>
    <row r="2280" spans="1:3" x14ac:dyDescent="0.25">
      <c r="A2280" t="s">
        <v>1739</v>
      </c>
      <c r="B2280" t="str">
        <f>"52.1403"</f>
        <v>52.1403</v>
      </c>
      <c r="C2280" t="str">
        <f t="shared" si="55"/>
        <v>52</v>
      </c>
    </row>
    <row r="2281" spans="1:3" x14ac:dyDescent="0.25">
      <c r="A2281" t="s">
        <v>2163</v>
      </c>
      <c r="B2281" t="str">
        <f>"52.1404"</f>
        <v>52.1404</v>
      </c>
      <c r="C2281" t="str">
        <f t="shared" si="55"/>
        <v>52</v>
      </c>
    </row>
    <row r="2282" spans="1:3" x14ac:dyDescent="0.25">
      <c r="A2282" t="s">
        <v>1740</v>
      </c>
      <c r="B2282" t="str">
        <f>"52.1499"</f>
        <v>52.1499</v>
      </c>
      <c r="C2282" t="str">
        <f t="shared" si="55"/>
        <v>52</v>
      </c>
    </row>
    <row r="2283" spans="1:3" x14ac:dyDescent="0.25">
      <c r="A2283" t="s">
        <v>1741</v>
      </c>
      <c r="B2283" t="str">
        <f>"52.15"</f>
        <v>52.15</v>
      </c>
      <c r="C2283" t="str">
        <f t="shared" si="55"/>
        <v>52</v>
      </c>
    </row>
    <row r="2284" spans="1:3" x14ac:dyDescent="0.25">
      <c r="A2284" t="s">
        <v>1741</v>
      </c>
      <c r="B2284" t="str">
        <f>"52.1501"</f>
        <v>52.1501</v>
      </c>
      <c r="C2284" t="str">
        <f t="shared" si="55"/>
        <v>52</v>
      </c>
    </row>
    <row r="2285" spans="1:3" x14ac:dyDescent="0.25">
      <c r="A2285" t="s">
        <v>1742</v>
      </c>
      <c r="B2285" t="str">
        <f>"52.16"</f>
        <v>52.16</v>
      </c>
      <c r="C2285" t="str">
        <f t="shared" si="55"/>
        <v>52</v>
      </c>
    </row>
    <row r="2286" spans="1:3" x14ac:dyDescent="0.25">
      <c r="A2286" t="s">
        <v>1742</v>
      </c>
      <c r="B2286" t="str">
        <f>"52.1601"</f>
        <v>52.1601</v>
      </c>
      <c r="C2286" t="str">
        <f t="shared" si="55"/>
        <v>52</v>
      </c>
    </row>
    <row r="2287" spans="1:3" x14ac:dyDescent="0.25">
      <c r="A2287" t="s">
        <v>1743</v>
      </c>
      <c r="B2287" t="str">
        <f>"52.17"</f>
        <v>52.17</v>
      </c>
      <c r="C2287" t="str">
        <f t="shared" si="55"/>
        <v>52</v>
      </c>
    </row>
    <row r="2288" spans="1:3" x14ac:dyDescent="0.25">
      <c r="A2288" t="s">
        <v>1743</v>
      </c>
      <c r="B2288" t="str">
        <f>"52.1701"</f>
        <v>52.1701</v>
      </c>
      <c r="C2288" t="str">
        <f t="shared" si="55"/>
        <v>52</v>
      </c>
    </row>
    <row r="2289" spans="1:3" x14ac:dyDescent="0.25">
      <c r="A2289" t="s">
        <v>1744</v>
      </c>
      <c r="B2289" t="str">
        <f>"52.18"</f>
        <v>52.18</v>
      </c>
      <c r="C2289" t="str">
        <f t="shared" si="55"/>
        <v>52</v>
      </c>
    </row>
    <row r="2290" spans="1:3" x14ac:dyDescent="0.25">
      <c r="A2290" t="s">
        <v>1745</v>
      </c>
      <c r="B2290" t="str">
        <f>"52.1801"</f>
        <v>52.1801</v>
      </c>
      <c r="C2290" t="str">
        <f t="shared" si="55"/>
        <v>52</v>
      </c>
    </row>
    <row r="2291" spans="1:3" x14ac:dyDescent="0.25">
      <c r="A2291" t="s">
        <v>1746</v>
      </c>
      <c r="B2291" t="str">
        <f>"52.1802"</f>
        <v>52.1802</v>
      </c>
      <c r="C2291" t="str">
        <f t="shared" si="55"/>
        <v>52</v>
      </c>
    </row>
    <row r="2292" spans="1:3" x14ac:dyDescent="0.25">
      <c r="A2292" t="s">
        <v>1747</v>
      </c>
      <c r="B2292" t="str">
        <f>"52.1803"</f>
        <v>52.1803</v>
      </c>
      <c r="C2292" t="str">
        <f t="shared" si="55"/>
        <v>52</v>
      </c>
    </row>
    <row r="2293" spans="1:3" x14ac:dyDescent="0.25">
      <c r="A2293" t="s">
        <v>1748</v>
      </c>
      <c r="B2293" t="str">
        <f>"52.1804"</f>
        <v>52.1804</v>
      </c>
      <c r="C2293" t="str">
        <f t="shared" si="55"/>
        <v>52</v>
      </c>
    </row>
    <row r="2294" spans="1:3" x14ac:dyDescent="0.25">
      <c r="A2294" t="s">
        <v>1793</v>
      </c>
      <c r="B2294" t="str">
        <f>"52.1880"</f>
        <v>52.1880</v>
      </c>
      <c r="C2294" t="str">
        <f t="shared" si="55"/>
        <v>52</v>
      </c>
    </row>
    <row r="2295" spans="1:3" x14ac:dyDescent="0.25">
      <c r="A2295" t="s">
        <v>1749</v>
      </c>
      <c r="B2295" t="str">
        <f>"52.1899"</f>
        <v>52.1899</v>
      </c>
      <c r="C2295" t="str">
        <f t="shared" si="55"/>
        <v>52</v>
      </c>
    </row>
    <row r="2296" spans="1:3" x14ac:dyDescent="0.25">
      <c r="A2296" t="s">
        <v>1750</v>
      </c>
      <c r="B2296" t="str">
        <f>"52.19"</f>
        <v>52.19</v>
      </c>
      <c r="C2296" t="str">
        <f t="shared" si="55"/>
        <v>52</v>
      </c>
    </row>
    <row r="2297" spans="1:3" x14ac:dyDescent="0.25">
      <c r="A2297" t="s">
        <v>1751</v>
      </c>
      <c r="B2297" t="str">
        <f>"52.1901"</f>
        <v>52.1901</v>
      </c>
      <c r="C2297" t="str">
        <f t="shared" si="55"/>
        <v>52</v>
      </c>
    </row>
    <row r="2298" spans="1:3" x14ac:dyDescent="0.25">
      <c r="A2298" t="s">
        <v>1752</v>
      </c>
      <c r="B2298" t="str">
        <f>"52.1902"</f>
        <v>52.1902</v>
      </c>
      <c r="C2298" t="str">
        <f t="shared" si="55"/>
        <v>52</v>
      </c>
    </row>
    <row r="2299" spans="1:3" x14ac:dyDescent="0.25">
      <c r="A2299" t="s">
        <v>1753</v>
      </c>
      <c r="B2299" t="str">
        <f>"52.1903"</f>
        <v>52.1903</v>
      </c>
      <c r="C2299" t="str">
        <f t="shared" si="55"/>
        <v>52</v>
      </c>
    </row>
    <row r="2300" spans="1:3" x14ac:dyDescent="0.25">
      <c r="A2300" t="s">
        <v>1754</v>
      </c>
      <c r="B2300" t="str">
        <f>"52.1904"</f>
        <v>52.1904</v>
      </c>
      <c r="C2300" t="str">
        <f t="shared" si="55"/>
        <v>52</v>
      </c>
    </row>
    <row r="2301" spans="1:3" x14ac:dyDescent="0.25">
      <c r="A2301" t="s">
        <v>1755</v>
      </c>
      <c r="B2301" t="str">
        <f>"52.1905"</f>
        <v>52.1905</v>
      </c>
      <c r="C2301" t="str">
        <f t="shared" si="55"/>
        <v>52</v>
      </c>
    </row>
    <row r="2302" spans="1:3" x14ac:dyDescent="0.25">
      <c r="A2302" t="s">
        <v>1756</v>
      </c>
      <c r="B2302" t="str">
        <f>"52.1906"</f>
        <v>52.1906</v>
      </c>
      <c r="C2302" t="str">
        <f t="shared" si="55"/>
        <v>52</v>
      </c>
    </row>
    <row r="2303" spans="1:3" x14ac:dyDescent="0.25">
      <c r="A2303" t="s">
        <v>1757</v>
      </c>
      <c r="B2303" t="str">
        <f>"52.1907"</f>
        <v>52.1907</v>
      </c>
      <c r="C2303" t="str">
        <f t="shared" si="55"/>
        <v>52</v>
      </c>
    </row>
    <row r="2304" spans="1:3" x14ac:dyDescent="0.25">
      <c r="A2304" t="s">
        <v>1758</v>
      </c>
      <c r="B2304" t="str">
        <f>"52.1908"</f>
        <v>52.1908</v>
      </c>
      <c r="C2304" t="str">
        <f t="shared" si="55"/>
        <v>52</v>
      </c>
    </row>
    <row r="2305" spans="1:3" x14ac:dyDescent="0.25">
      <c r="A2305" t="s">
        <v>1759</v>
      </c>
      <c r="B2305" t="str">
        <f>"52.1909"</f>
        <v>52.1909</v>
      </c>
      <c r="C2305" t="str">
        <f t="shared" si="55"/>
        <v>52</v>
      </c>
    </row>
    <row r="2306" spans="1:3" x14ac:dyDescent="0.25">
      <c r="A2306" t="s">
        <v>1760</v>
      </c>
      <c r="B2306" t="str">
        <f>"52.1910"</f>
        <v>52.1910</v>
      </c>
      <c r="C2306" t="str">
        <f t="shared" si="55"/>
        <v>52</v>
      </c>
    </row>
    <row r="2307" spans="1:3" x14ac:dyDescent="0.25">
      <c r="A2307" t="s">
        <v>1793</v>
      </c>
      <c r="B2307" t="str">
        <f>"52.1980"</f>
        <v>52.1980</v>
      </c>
      <c r="C2307" t="str">
        <f t="shared" si="55"/>
        <v>52</v>
      </c>
    </row>
    <row r="2308" spans="1:3" x14ac:dyDescent="0.25">
      <c r="A2308" t="s">
        <v>1761</v>
      </c>
      <c r="B2308" t="str">
        <f>"52.1999"</f>
        <v>52.1999</v>
      </c>
      <c r="C2308" t="str">
        <f t="shared" si="55"/>
        <v>52</v>
      </c>
    </row>
    <row r="2309" spans="1:3" x14ac:dyDescent="0.25">
      <c r="A2309" t="s">
        <v>1762</v>
      </c>
      <c r="B2309" t="str">
        <f>"52.20"</f>
        <v>52.20</v>
      </c>
      <c r="C2309" t="str">
        <f t="shared" si="55"/>
        <v>52</v>
      </c>
    </row>
    <row r="2310" spans="1:3" x14ac:dyDescent="0.25">
      <c r="A2310" t="s">
        <v>2164</v>
      </c>
      <c r="B2310" t="str">
        <f>"52.2001"</f>
        <v>52.2001</v>
      </c>
      <c r="C2310" t="str">
        <f t="shared" si="55"/>
        <v>52</v>
      </c>
    </row>
    <row r="2311" spans="1:3" x14ac:dyDescent="0.25">
      <c r="A2311" t="s">
        <v>2165</v>
      </c>
      <c r="B2311" t="str">
        <f>"52.2002"</f>
        <v>52.2002</v>
      </c>
      <c r="C2311" t="str">
        <f t="shared" si="55"/>
        <v>52</v>
      </c>
    </row>
    <row r="2312" spans="1:3" x14ac:dyDescent="0.25">
      <c r="A2312" t="s">
        <v>2166</v>
      </c>
      <c r="B2312" t="str">
        <f>"52.2099"</f>
        <v>52.2099</v>
      </c>
      <c r="C2312" t="str">
        <f t="shared" si="55"/>
        <v>52</v>
      </c>
    </row>
    <row r="2313" spans="1:3" x14ac:dyDescent="0.25">
      <c r="A2313" t="s">
        <v>1763</v>
      </c>
      <c r="B2313" t="str">
        <f>"52.21"</f>
        <v>52.21</v>
      </c>
      <c r="C2313" t="str">
        <f t="shared" si="55"/>
        <v>52</v>
      </c>
    </row>
    <row r="2314" spans="1:3" x14ac:dyDescent="0.25">
      <c r="A2314" t="s">
        <v>1763</v>
      </c>
      <c r="B2314" t="str">
        <f>"52.2101"</f>
        <v>52.2101</v>
      </c>
      <c r="C2314" t="str">
        <f t="shared" si="55"/>
        <v>52</v>
      </c>
    </row>
    <row r="2315" spans="1:3" x14ac:dyDescent="0.25">
      <c r="A2315" t="s">
        <v>1764</v>
      </c>
      <c r="B2315" t="str">
        <f>"52.99"</f>
        <v>52.99</v>
      </c>
      <c r="C2315" t="str">
        <f t="shared" ref="C2315:C2316" si="56">"52"</f>
        <v>52</v>
      </c>
    </row>
    <row r="2316" spans="1:3" x14ac:dyDescent="0.25">
      <c r="A2316" t="s">
        <v>1764</v>
      </c>
      <c r="B2316" t="str">
        <f>"52.9999"</f>
        <v>52.9999</v>
      </c>
      <c r="C2316" t="str">
        <f t="shared" si="56"/>
        <v>52</v>
      </c>
    </row>
    <row r="2317" spans="1:3" x14ac:dyDescent="0.25">
      <c r="A2317" t="s">
        <v>2167</v>
      </c>
      <c r="B2317" t="str">
        <f>"53"</f>
        <v>53</v>
      </c>
      <c r="C2317" t="str">
        <f>"53"</f>
        <v>53</v>
      </c>
    </row>
    <row r="2318" spans="1:3" x14ac:dyDescent="0.25">
      <c r="A2318" t="s">
        <v>2168</v>
      </c>
      <c r="B2318" t="str">
        <f>"53.01"</f>
        <v>53.01</v>
      </c>
      <c r="C2318" t="str">
        <f t="shared" ref="C2318:C2329" si="57">"53"</f>
        <v>53</v>
      </c>
    </row>
    <row r="2319" spans="1:3" x14ac:dyDescent="0.25">
      <c r="A2319" t="s">
        <v>2169</v>
      </c>
      <c r="B2319" t="str">
        <f>"53.0101"</f>
        <v>53.0101</v>
      </c>
      <c r="C2319" t="str">
        <f t="shared" si="57"/>
        <v>53</v>
      </c>
    </row>
    <row r="2320" spans="1:3" x14ac:dyDescent="0.25">
      <c r="A2320" t="s">
        <v>2170</v>
      </c>
      <c r="B2320" t="str">
        <f>"53.0102"</f>
        <v>53.0102</v>
      </c>
      <c r="C2320" t="str">
        <f t="shared" si="57"/>
        <v>53</v>
      </c>
    </row>
    <row r="2321" spans="1:3" x14ac:dyDescent="0.25">
      <c r="A2321" t="s">
        <v>2171</v>
      </c>
      <c r="B2321" t="str">
        <f>"53.0103"</f>
        <v>53.0103</v>
      </c>
      <c r="C2321" t="str">
        <f t="shared" si="57"/>
        <v>53</v>
      </c>
    </row>
    <row r="2322" spans="1:3" x14ac:dyDescent="0.25">
      <c r="A2322" t="s">
        <v>2172</v>
      </c>
      <c r="B2322" t="str">
        <f>"53.0104"</f>
        <v>53.0104</v>
      </c>
      <c r="C2322" t="str">
        <f t="shared" si="57"/>
        <v>53</v>
      </c>
    </row>
    <row r="2323" spans="1:3" x14ac:dyDescent="0.25">
      <c r="A2323" t="s">
        <v>2173</v>
      </c>
      <c r="B2323" t="str">
        <f>"53.0105"</f>
        <v>53.0105</v>
      </c>
      <c r="C2323" t="str">
        <f t="shared" si="57"/>
        <v>53</v>
      </c>
    </row>
    <row r="2324" spans="1:3" x14ac:dyDescent="0.25">
      <c r="A2324" t="s">
        <v>2174</v>
      </c>
      <c r="B2324" t="str">
        <f>"53.0199"</f>
        <v>53.0199</v>
      </c>
      <c r="C2324" t="str">
        <f t="shared" si="57"/>
        <v>53</v>
      </c>
    </row>
    <row r="2325" spans="1:3" x14ac:dyDescent="0.25">
      <c r="A2325" t="s">
        <v>2175</v>
      </c>
      <c r="B2325" t="str">
        <f>"53.02"</f>
        <v>53.02</v>
      </c>
      <c r="C2325" t="str">
        <f t="shared" si="57"/>
        <v>53</v>
      </c>
    </row>
    <row r="2326" spans="1:3" x14ac:dyDescent="0.25">
      <c r="A2326" t="s">
        <v>2176</v>
      </c>
      <c r="B2326" t="str">
        <f>"53.0201"</f>
        <v>53.0201</v>
      </c>
      <c r="C2326" t="str">
        <f t="shared" si="57"/>
        <v>53</v>
      </c>
    </row>
    <row r="2327" spans="1:3" x14ac:dyDescent="0.25">
      <c r="A2327" t="s">
        <v>2177</v>
      </c>
      <c r="B2327" t="str">
        <f>"53.0202"</f>
        <v>53.0202</v>
      </c>
      <c r="C2327" t="str">
        <f t="shared" si="57"/>
        <v>53</v>
      </c>
    </row>
    <row r="2328" spans="1:3" x14ac:dyDescent="0.25">
      <c r="A2328" t="s">
        <v>2178</v>
      </c>
      <c r="B2328" t="str">
        <f>"53.0203"</f>
        <v>53.0203</v>
      </c>
      <c r="C2328" t="str">
        <f t="shared" si="57"/>
        <v>53</v>
      </c>
    </row>
    <row r="2329" spans="1:3" x14ac:dyDescent="0.25">
      <c r="A2329" t="s">
        <v>2179</v>
      </c>
      <c r="B2329" t="str">
        <f>"53.0299"</f>
        <v>53.0299</v>
      </c>
      <c r="C2329" t="str">
        <f t="shared" si="57"/>
        <v>53</v>
      </c>
    </row>
    <row r="2330" spans="1:3" x14ac:dyDescent="0.25">
      <c r="A2330" t="s">
        <v>1765</v>
      </c>
      <c r="B2330" t="str">
        <f>"54"</f>
        <v>54</v>
      </c>
      <c r="C2330" t="str">
        <f>"54"</f>
        <v>54</v>
      </c>
    </row>
    <row r="2331" spans="1:3" x14ac:dyDescent="0.25">
      <c r="A2331" t="s">
        <v>1766</v>
      </c>
      <c r="B2331" t="str">
        <f>"54.01"</f>
        <v>54.01</v>
      </c>
      <c r="C2331" t="str">
        <f t="shared" ref="C2331:C2340" si="58">"54"</f>
        <v>54</v>
      </c>
    </row>
    <row r="2332" spans="1:3" x14ac:dyDescent="0.25">
      <c r="A2332" t="s">
        <v>1767</v>
      </c>
      <c r="B2332" t="str">
        <f>"54.0101"</f>
        <v>54.0101</v>
      </c>
      <c r="C2332" t="str">
        <f t="shared" si="58"/>
        <v>54</v>
      </c>
    </row>
    <row r="2333" spans="1:3" x14ac:dyDescent="0.25">
      <c r="A2333" t="s">
        <v>1768</v>
      </c>
      <c r="B2333" t="str">
        <f>"54.0102"</f>
        <v>54.0102</v>
      </c>
      <c r="C2333" t="str">
        <f t="shared" si="58"/>
        <v>54</v>
      </c>
    </row>
    <row r="2334" spans="1:3" x14ac:dyDescent="0.25">
      <c r="A2334" t="s">
        <v>1769</v>
      </c>
      <c r="B2334" t="str">
        <f>"54.0103"</f>
        <v>54.0103</v>
      </c>
      <c r="C2334" t="str">
        <f t="shared" si="58"/>
        <v>54</v>
      </c>
    </row>
    <row r="2335" spans="1:3" x14ac:dyDescent="0.25">
      <c r="A2335" t="s">
        <v>1770</v>
      </c>
      <c r="B2335" t="str">
        <f>"54.0104"</f>
        <v>54.0104</v>
      </c>
      <c r="C2335" t="str">
        <f t="shared" si="58"/>
        <v>54</v>
      </c>
    </row>
    <row r="2336" spans="1:3" x14ac:dyDescent="0.25">
      <c r="A2336" t="s">
        <v>1771</v>
      </c>
      <c r="B2336" t="str">
        <f>"54.0105"</f>
        <v>54.0105</v>
      </c>
      <c r="C2336" t="str">
        <f t="shared" si="58"/>
        <v>54</v>
      </c>
    </row>
    <row r="2337" spans="1:3" x14ac:dyDescent="0.25">
      <c r="A2337" t="s">
        <v>1772</v>
      </c>
      <c r="B2337" t="str">
        <f>"54.0106"</f>
        <v>54.0106</v>
      </c>
      <c r="C2337" t="str">
        <f t="shared" si="58"/>
        <v>54</v>
      </c>
    </row>
    <row r="2338" spans="1:3" x14ac:dyDescent="0.25">
      <c r="A2338" t="s">
        <v>1773</v>
      </c>
      <c r="B2338" t="str">
        <f>"54.0107"</f>
        <v>54.0107</v>
      </c>
      <c r="C2338" t="str">
        <f t="shared" si="58"/>
        <v>54</v>
      </c>
    </row>
    <row r="2339" spans="1:3" x14ac:dyDescent="0.25">
      <c r="A2339" t="s">
        <v>1774</v>
      </c>
      <c r="B2339" t="str">
        <f>"54.0108"</f>
        <v>54.0108</v>
      </c>
      <c r="C2339" t="str">
        <f t="shared" si="58"/>
        <v>54</v>
      </c>
    </row>
    <row r="2340" spans="1:3" x14ac:dyDescent="0.25">
      <c r="A2340" t="s">
        <v>1775</v>
      </c>
      <c r="B2340" t="str">
        <f>"54.0199"</f>
        <v>54.0199</v>
      </c>
      <c r="C2340" t="str">
        <f t="shared" si="58"/>
        <v>54</v>
      </c>
    </row>
    <row r="2341" spans="1:3" x14ac:dyDescent="0.25">
      <c r="A2341" t="s">
        <v>1930</v>
      </c>
      <c r="B2341" t="str">
        <f>"55"</f>
        <v>55</v>
      </c>
      <c r="C2341" t="str">
        <f>"55"</f>
        <v>55</v>
      </c>
    </row>
    <row r="2342" spans="1:3" x14ac:dyDescent="0.25">
      <c r="A2342" t="s">
        <v>1793</v>
      </c>
      <c r="B2342" t="str">
        <f>"55.01"</f>
        <v>55.01</v>
      </c>
      <c r="C2342" t="str">
        <f t="shared" ref="C2342:C2357" si="59">"55"</f>
        <v>55</v>
      </c>
    </row>
    <row r="2343" spans="1:3" x14ac:dyDescent="0.25">
      <c r="A2343" t="s">
        <v>1793</v>
      </c>
      <c r="B2343" t="str">
        <f>"55.0101"</f>
        <v>55.0101</v>
      </c>
      <c r="C2343" t="str">
        <f t="shared" si="59"/>
        <v>55</v>
      </c>
    </row>
    <row r="2344" spans="1:3" x14ac:dyDescent="0.25">
      <c r="A2344" t="s">
        <v>1793</v>
      </c>
      <c r="B2344" t="str">
        <f>"55.13"</f>
        <v>55.13</v>
      </c>
      <c r="C2344" t="str">
        <f t="shared" si="59"/>
        <v>55</v>
      </c>
    </row>
    <row r="2345" spans="1:3" x14ac:dyDescent="0.25">
      <c r="A2345" t="s">
        <v>1793</v>
      </c>
      <c r="B2345" t="str">
        <f>"55.1301"</f>
        <v>55.1301</v>
      </c>
      <c r="C2345" t="str">
        <f t="shared" si="59"/>
        <v>55</v>
      </c>
    </row>
    <row r="2346" spans="1:3" x14ac:dyDescent="0.25">
      <c r="A2346" t="s">
        <v>1793</v>
      </c>
      <c r="B2346" t="str">
        <f>"55.1302"</f>
        <v>55.1302</v>
      </c>
      <c r="C2346" t="str">
        <f t="shared" si="59"/>
        <v>55</v>
      </c>
    </row>
    <row r="2347" spans="1:3" x14ac:dyDescent="0.25">
      <c r="A2347" t="s">
        <v>1793</v>
      </c>
      <c r="B2347" t="str">
        <f>"55.1303"</f>
        <v>55.1303</v>
      </c>
      <c r="C2347" t="str">
        <f t="shared" si="59"/>
        <v>55</v>
      </c>
    </row>
    <row r="2348" spans="1:3" x14ac:dyDescent="0.25">
      <c r="A2348" t="s">
        <v>1793</v>
      </c>
      <c r="B2348" t="str">
        <f>"55.1304"</f>
        <v>55.1304</v>
      </c>
      <c r="C2348" t="str">
        <f t="shared" si="59"/>
        <v>55</v>
      </c>
    </row>
    <row r="2349" spans="1:3" x14ac:dyDescent="0.25">
      <c r="A2349" t="s">
        <v>1793</v>
      </c>
      <c r="B2349" t="str">
        <f>"55.1399"</f>
        <v>55.1399</v>
      </c>
      <c r="C2349" t="str">
        <f t="shared" si="59"/>
        <v>55</v>
      </c>
    </row>
    <row r="2350" spans="1:3" x14ac:dyDescent="0.25">
      <c r="A2350" t="s">
        <v>1793</v>
      </c>
      <c r="B2350" t="str">
        <f>"55.14"</f>
        <v>55.14</v>
      </c>
      <c r="C2350" t="str">
        <f t="shared" si="59"/>
        <v>55</v>
      </c>
    </row>
    <row r="2351" spans="1:3" x14ac:dyDescent="0.25">
      <c r="A2351" t="s">
        <v>1793</v>
      </c>
      <c r="B2351" t="str">
        <f>"55.1401"</f>
        <v>55.1401</v>
      </c>
      <c r="C2351" t="str">
        <f t="shared" si="59"/>
        <v>55</v>
      </c>
    </row>
    <row r="2352" spans="1:3" x14ac:dyDescent="0.25">
      <c r="A2352" t="s">
        <v>1793</v>
      </c>
      <c r="B2352" t="str">
        <f>"55.1403"</f>
        <v>55.1403</v>
      </c>
      <c r="C2352" t="str">
        <f t="shared" si="59"/>
        <v>55</v>
      </c>
    </row>
    <row r="2353" spans="1:3" x14ac:dyDescent="0.25">
      <c r="A2353" t="s">
        <v>1793</v>
      </c>
      <c r="B2353" t="str">
        <f>"55.1404"</f>
        <v>55.1404</v>
      </c>
      <c r="C2353" t="str">
        <f t="shared" si="59"/>
        <v>55</v>
      </c>
    </row>
    <row r="2354" spans="1:3" x14ac:dyDescent="0.25">
      <c r="A2354" t="s">
        <v>1793</v>
      </c>
      <c r="B2354" t="str">
        <f>"55.1405"</f>
        <v>55.1405</v>
      </c>
      <c r="C2354" t="str">
        <f t="shared" si="59"/>
        <v>55</v>
      </c>
    </row>
    <row r="2355" spans="1:3" x14ac:dyDescent="0.25">
      <c r="A2355" t="s">
        <v>1793</v>
      </c>
      <c r="B2355" t="str">
        <f>"55.1499"</f>
        <v>55.1499</v>
      </c>
      <c r="C2355" t="str">
        <f t="shared" si="59"/>
        <v>55</v>
      </c>
    </row>
    <row r="2356" spans="1:3" x14ac:dyDescent="0.25">
      <c r="A2356" t="s">
        <v>1793</v>
      </c>
      <c r="B2356" t="str">
        <f>"55.99"</f>
        <v>55.99</v>
      </c>
      <c r="C2356" t="str">
        <f t="shared" si="59"/>
        <v>55</v>
      </c>
    </row>
    <row r="2357" spans="1:3" x14ac:dyDescent="0.25">
      <c r="A2357" t="s">
        <v>1793</v>
      </c>
      <c r="B2357" t="str">
        <f>"55.9999"</f>
        <v>55.9999</v>
      </c>
      <c r="C2357" t="str">
        <f t="shared" si="59"/>
        <v>55</v>
      </c>
    </row>
    <row r="2358" spans="1:3" x14ac:dyDescent="0.25">
      <c r="A2358" t="s">
        <v>2180</v>
      </c>
      <c r="B2358" t="str">
        <f>"60"</f>
        <v>60</v>
      </c>
      <c r="C2358" t="str">
        <f>"60"</f>
        <v>60</v>
      </c>
    </row>
    <row r="2359" spans="1:3" x14ac:dyDescent="0.25">
      <c r="A2359" t="s">
        <v>2181</v>
      </c>
      <c r="B2359" t="str">
        <f>"60.01"</f>
        <v>60.01</v>
      </c>
      <c r="C2359" t="str">
        <f t="shared" ref="C2359:C2422" si="60">"60"</f>
        <v>60</v>
      </c>
    </row>
    <row r="2360" spans="1:3" x14ac:dyDescent="0.25">
      <c r="A2360" t="s">
        <v>2182</v>
      </c>
      <c r="B2360" t="str">
        <f>"60.0101"</f>
        <v>60.0101</v>
      </c>
      <c r="C2360" t="str">
        <f t="shared" si="60"/>
        <v>60</v>
      </c>
    </row>
    <row r="2361" spans="1:3" x14ac:dyDescent="0.25">
      <c r="A2361" t="s">
        <v>2183</v>
      </c>
      <c r="B2361" t="str">
        <f>"60.0102"</f>
        <v>60.0102</v>
      </c>
      <c r="C2361" t="str">
        <f t="shared" si="60"/>
        <v>60</v>
      </c>
    </row>
    <row r="2362" spans="1:3" x14ac:dyDescent="0.25">
      <c r="A2362" t="s">
        <v>2184</v>
      </c>
      <c r="B2362" t="str">
        <f>"60.0103"</f>
        <v>60.0103</v>
      </c>
      <c r="C2362" t="str">
        <f t="shared" si="60"/>
        <v>60</v>
      </c>
    </row>
    <row r="2363" spans="1:3" x14ac:dyDescent="0.25">
      <c r="A2363" t="s">
        <v>2185</v>
      </c>
      <c r="B2363" t="str">
        <f>"60.0104"</f>
        <v>60.0104</v>
      </c>
      <c r="C2363" t="str">
        <f t="shared" si="60"/>
        <v>60</v>
      </c>
    </row>
    <row r="2364" spans="1:3" x14ac:dyDescent="0.25">
      <c r="A2364" t="s">
        <v>2186</v>
      </c>
      <c r="B2364" t="str">
        <f>"60.0105"</f>
        <v>60.0105</v>
      </c>
      <c r="C2364" t="str">
        <f t="shared" si="60"/>
        <v>60</v>
      </c>
    </row>
    <row r="2365" spans="1:3" x14ac:dyDescent="0.25">
      <c r="A2365" t="s">
        <v>2187</v>
      </c>
      <c r="B2365" t="str">
        <f>"60.0106"</f>
        <v>60.0106</v>
      </c>
      <c r="C2365" t="str">
        <f t="shared" si="60"/>
        <v>60</v>
      </c>
    </row>
    <row r="2366" spans="1:3" x14ac:dyDescent="0.25">
      <c r="A2366" t="s">
        <v>2188</v>
      </c>
      <c r="B2366" t="str">
        <f>"60.0107"</f>
        <v>60.0107</v>
      </c>
      <c r="C2366" t="str">
        <f t="shared" si="60"/>
        <v>60</v>
      </c>
    </row>
    <row r="2367" spans="1:3" x14ac:dyDescent="0.25">
      <c r="A2367" t="s">
        <v>2189</v>
      </c>
      <c r="B2367" t="str">
        <f>"60.0108"</f>
        <v>60.0108</v>
      </c>
      <c r="C2367" t="str">
        <f t="shared" si="60"/>
        <v>60</v>
      </c>
    </row>
    <row r="2368" spans="1:3" x14ac:dyDescent="0.25">
      <c r="A2368" t="s">
        <v>2190</v>
      </c>
      <c r="B2368" t="str">
        <f>"60.0109"</f>
        <v>60.0109</v>
      </c>
      <c r="C2368" t="str">
        <f t="shared" si="60"/>
        <v>60</v>
      </c>
    </row>
    <row r="2369" spans="1:3" x14ac:dyDescent="0.25">
      <c r="A2369" t="s">
        <v>2191</v>
      </c>
      <c r="B2369" t="str">
        <f>"60.0110"</f>
        <v>60.0110</v>
      </c>
      <c r="C2369" t="str">
        <f t="shared" si="60"/>
        <v>60</v>
      </c>
    </row>
    <row r="2370" spans="1:3" x14ac:dyDescent="0.25">
      <c r="A2370" t="s">
        <v>2192</v>
      </c>
      <c r="B2370" t="str">
        <f>"60.0199"</f>
        <v>60.0199</v>
      </c>
      <c r="C2370" t="str">
        <f t="shared" si="60"/>
        <v>60</v>
      </c>
    </row>
    <row r="2371" spans="1:3" x14ac:dyDescent="0.25">
      <c r="A2371" t="s">
        <v>2193</v>
      </c>
      <c r="B2371" t="str">
        <f>"60.03"</f>
        <v>60.03</v>
      </c>
      <c r="C2371" t="str">
        <f t="shared" si="60"/>
        <v>60</v>
      </c>
    </row>
    <row r="2372" spans="1:3" x14ac:dyDescent="0.25">
      <c r="A2372" t="s">
        <v>2194</v>
      </c>
      <c r="B2372" t="str">
        <f>"60.0301"</f>
        <v>60.0301</v>
      </c>
      <c r="C2372" t="str">
        <f t="shared" si="60"/>
        <v>60</v>
      </c>
    </row>
    <row r="2373" spans="1:3" x14ac:dyDescent="0.25">
      <c r="A2373" t="s">
        <v>2195</v>
      </c>
      <c r="B2373" t="str">
        <f>"60.0302"</f>
        <v>60.0302</v>
      </c>
      <c r="C2373" t="str">
        <f t="shared" si="60"/>
        <v>60</v>
      </c>
    </row>
    <row r="2374" spans="1:3" x14ac:dyDescent="0.25">
      <c r="A2374" t="s">
        <v>2196</v>
      </c>
      <c r="B2374" t="str">
        <f>"60.0303"</f>
        <v>60.0303</v>
      </c>
      <c r="C2374" t="str">
        <f t="shared" si="60"/>
        <v>60</v>
      </c>
    </row>
    <row r="2375" spans="1:3" x14ac:dyDescent="0.25">
      <c r="A2375" t="s">
        <v>2197</v>
      </c>
      <c r="B2375" t="str">
        <f>"60.0304"</f>
        <v>60.0304</v>
      </c>
      <c r="C2375" t="str">
        <f t="shared" si="60"/>
        <v>60</v>
      </c>
    </row>
    <row r="2376" spans="1:3" x14ac:dyDescent="0.25">
      <c r="A2376" t="s">
        <v>2198</v>
      </c>
      <c r="B2376" t="str">
        <f>"60.0305"</f>
        <v>60.0305</v>
      </c>
      <c r="C2376" t="str">
        <f t="shared" si="60"/>
        <v>60</v>
      </c>
    </row>
    <row r="2377" spans="1:3" x14ac:dyDescent="0.25">
      <c r="A2377" t="s">
        <v>2199</v>
      </c>
      <c r="B2377" t="str">
        <f>"60.0306"</f>
        <v>60.0306</v>
      </c>
      <c r="C2377" t="str">
        <f t="shared" si="60"/>
        <v>60</v>
      </c>
    </row>
    <row r="2378" spans="1:3" x14ac:dyDescent="0.25">
      <c r="A2378" t="s">
        <v>2200</v>
      </c>
      <c r="B2378" t="str">
        <f>"60.0307"</f>
        <v>60.0307</v>
      </c>
      <c r="C2378" t="str">
        <f t="shared" si="60"/>
        <v>60</v>
      </c>
    </row>
    <row r="2379" spans="1:3" x14ac:dyDescent="0.25">
      <c r="A2379" t="s">
        <v>2201</v>
      </c>
      <c r="B2379" t="str">
        <f>"60.0308"</f>
        <v>60.0308</v>
      </c>
      <c r="C2379" t="str">
        <f t="shared" si="60"/>
        <v>60</v>
      </c>
    </row>
    <row r="2380" spans="1:3" x14ac:dyDescent="0.25">
      <c r="A2380" t="s">
        <v>2202</v>
      </c>
      <c r="B2380" t="str">
        <f>"60.0309"</f>
        <v>60.0309</v>
      </c>
      <c r="C2380" t="str">
        <f t="shared" si="60"/>
        <v>60</v>
      </c>
    </row>
    <row r="2381" spans="1:3" x14ac:dyDescent="0.25">
      <c r="A2381" t="s">
        <v>2203</v>
      </c>
      <c r="B2381" t="str">
        <f>"60.0310"</f>
        <v>60.0310</v>
      </c>
      <c r="C2381" t="str">
        <f t="shared" si="60"/>
        <v>60</v>
      </c>
    </row>
    <row r="2382" spans="1:3" x14ac:dyDescent="0.25">
      <c r="A2382" t="s">
        <v>2204</v>
      </c>
      <c r="B2382" t="str">
        <f>"60.0311"</f>
        <v>60.0311</v>
      </c>
      <c r="C2382" t="str">
        <f t="shared" si="60"/>
        <v>60</v>
      </c>
    </row>
    <row r="2383" spans="1:3" x14ac:dyDescent="0.25">
      <c r="A2383" t="s">
        <v>2205</v>
      </c>
      <c r="B2383" t="str">
        <f>"60.0312"</f>
        <v>60.0312</v>
      </c>
      <c r="C2383" t="str">
        <f t="shared" si="60"/>
        <v>60</v>
      </c>
    </row>
    <row r="2384" spans="1:3" x14ac:dyDescent="0.25">
      <c r="A2384" t="s">
        <v>2206</v>
      </c>
      <c r="B2384" t="str">
        <f>"60.0313"</f>
        <v>60.0313</v>
      </c>
      <c r="C2384" t="str">
        <f t="shared" si="60"/>
        <v>60</v>
      </c>
    </row>
    <row r="2385" spans="1:3" x14ac:dyDescent="0.25">
      <c r="A2385" t="s">
        <v>2207</v>
      </c>
      <c r="B2385" t="str">
        <f>"60.0314"</f>
        <v>60.0314</v>
      </c>
      <c r="C2385" t="str">
        <f t="shared" si="60"/>
        <v>60</v>
      </c>
    </row>
    <row r="2386" spans="1:3" x14ac:dyDescent="0.25">
      <c r="A2386" t="s">
        <v>2208</v>
      </c>
      <c r="B2386" t="str">
        <f>"60.0315"</f>
        <v>60.0315</v>
      </c>
      <c r="C2386" t="str">
        <f t="shared" si="60"/>
        <v>60</v>
      </c>
    </row>
    <row r="2387" spans="1:3" x14ac:dyDescent="0.25">
      <c r="A2387" t="s">
        <v>2209</v>
      </c>
      <c r="B2387" t="str">
        <f>"60.0316"</f>
        <v>60.0316</v>
      </c>
      <c r="C2387" t="str">
        <f t="shared" si="60"/>
        <v>60</v>
      </c>
    </row>
    <row r="2388" spans="1:3" x14ac:dyDescent="0.25">
      <c r="A2388" t="s">
        <v>2210</v>
      </c>
      <c r="B2388" t="str">
        <f>"60.0317"</f>
        <v>60.0317</v>
      </c>
      <c r="C2388" t="str">
        <f t="shared" si="60"/>
        <v>60</v>
      </c>
    </row>
    <row r="2389" spans="1:3" x14ac:dyDescent="0.25">
      <c r="A2389" t="s">
        <v>2211</v>
      </c>
      <c r="B2389" t="str">
        <f>"60.0318"</f>
        <v>60.0318</v>
      </c>
      <c r="C2389" t="str">
        <f t="shared" si="60"/>
        <v>60</v>
      </c>
    </row>
    <row r="2390" spans="1:3" x14ac:dyDescent="0.25">
      <c r="A2390" t="s">
        <v>2212</v>
      </c>
      <c r="B2390" t="str">
        <f>"60.0319"</f>
        <v>60.0319</v>
      </c>
      <c r="C2390" t="str">
        <f t="shared" si="60"/>
        <v>60</v>
      </c>
    </row>
    <row r="2391" spans="1:3" x14ac:dyDescent="0.25">
      <c r="A2391" t="s">
        <v>2213</v>
      </c>
      <c r="B2391" t="str">
        <f>"60.0320"</f>
        <v>60.0320</v>
      </c>
      <c r="C2391" t="str">
        <f t="shared" si="60"/>
        <v>60</v>
      </c>
    </row>
    <row r="2392" spans="1:3" x14ac:dyDescent="0.25">
      <c r="A2392" t="s">
        <v>2214</v>
      </c>
      <c r="B2392" t="str">
        <f>"60.0399"</f>
        <v>60.0399</v>
      </c>
      <c r="C2392" t="str">
        <f t="shared" si="60"/>
        <v>60</v>
      </c>
    </row>
    <row r="2393" spans="1:3" x14ac:dyDescent="0.25">
      <c r="A2393" t="s">
        <v>2215</v>
      </c>
      <c r="B2393" t="str">
        <f>"60.04"</f>
        <v>60.04</v>
      </c>
      <c r="C2393" t="str">
        <f t="shared" si="60"/>
        <v>60</v>
      </c>
    </row>
    <row r="2394" spans="1:3" x14ac:dyDescent="0.25">
      <c r="A2394" t="s">
        <v>2216</v>
      </c>
      <c r="B2394" t="str">
        <f>"60.0401"</f>
        <v>60.0401</v>
      </c>
      <c r="C2394" t="str">
        <f t="shared" si="60"/>
        <v>60</v>
      </c>
    </row>
    <row r="2395" spans="1:3" x14ac:dyDescent="0.25">
      <c r="A2395" t="s">
        <v>2217</v>
      </c>
      <c r="B2395" t="str">
        <f>"60.0402"</f>
        <v>60.0402</v>
      </c>
      <c r="C2395" t="str">
        <f t="shared" si="60"/>
        <v>60</v>
      </c>
    </row>
    <row r="2396" spans="1:3" x14ac:dyDescent="0.25">
      <c r="A2396" t="s">
        <v>2218</v>
      </c>
      <c r="B2396" t="str">
        <f>"60.0403"</f>
        <v>60.0403</v>
      </c>
      <c r="C2396" t="str">
        <f t="shared" si="60"/>
        <v>60</v>
      </c>
    </row>
    <row r="2397" spans="1:3" x14ac:dyDescent="0.25">
      <c r="A2397" t="s">
        <v>2219</v>
      </c>
      <c r="B2397" t="str">
        <f>"60.0404"</f>
        <v>60.0404</v>
      </c>
      <c r="C2397" t="str">
        <f t="shared" si="60"/>
        <v>60</v>
      </c>
    </row>
    <row r="2398" spans="1:3" x14ac:dyDescent="0.25">
      <c r="A2398" t="s">
        <v>2220</v>
      </c>
      <c r="B2398" t="str">
        <f>"60.0405"</f>
        <v>60.0405</v>
      </c>
      <c r="C2398" t="str">
        <f t="shared" si="60"/>
        <v>60</v>
      </c>
    </row>
    <row r="2399" spans="1:3" x14ac:dyDescent="0.25">
      <c r="A2399" t="s">
        <v>2221</v>
      </c>
      <c r="B2399" t="str">
        <f>"60.0406"</f>
        <v>60.0406</v>
      </c>
      <c r="C2399" t="str">
        <f t="shared" si="60"/>
        <v>60</v>
      </c>
    </row>
    <row r="2400" spans="1:3" x14ac:dyDescent="0.25">
      <c r="A2400" t="s">
        <v>2222</v>
      </c>
      <c r="B2400" t="str">
        <f>"60.0407"</f>
        <v>60.0407</v>
      </c>
      <c r="C2400" t="str">
        <f t="shared" si="60"/>
        <v>60</v>
      </c>
    </row>
    <row r="2401" spans="1:3" x14ac:dyDescent="0.25">
      <c r="A2401" t="s">
        <v>2223</v>
      </c>
      <c r="B2401" t="str">
        <f>"60.0408"</f>
        <v>60.0408</v>
      </c>
      <c r="C2401" t="str">
        <f t="shared" si="60"/>
        <v>60</v>
      </c>
    </row>
    <row r="2402" spans="1:3" x14ac:dyDescent="0.25">
      <c r="A2402" t="s">
        <v>2224</v>
      </c>
      <c r="B2402" t="str">
        <f>"60.0409"</f>
        <v>60.0409</v>
      </c>
      <c r="C2402" t="str">
        <f t="shared" si="60"/>
        <v>60</v>
      </c>
    </row>
    <row r="2403" spans="1:3" x14ac:dyDescent="0.25">
      <c r="A2403" t="s">
        <v>2225</v>
      </c>
      <c r="B2403" t="str">
        <f>"60.0410"</f>
        <v>60.0410</v>
      </c>
      <c r="C2403" t="str">
        <f t="shared" si="60"/>
        <v>60</v>
      </c>
    </row>
    <row r="2404" spans="1:3" x14ac:dyDescent="0.25">
      <c r="A2404" t="s">
        <v>2226</v>
      </c>
      <c r="B2404" t="str">
        <f>"60.0411"</f>
        <v>60.0411</v>
      </c>
      <c r="C2404" t="str">
        <f t="shared" si="60"/>
        <v>60</v>
      </c>
    </row>
    <row r="2405" spans="1:3" x14ac:dyDescent="0.25">
      <c r="A2405" t="s">
        <v>2227</v>
      </c>
      <c r="B2405" t="str">
        <f>"60.0412"</f>
        <v>60.0412</v>
      </c>
      <c r="C2405" t="str">
        <f t="shared" si="60"/>
        <v>60</v>
      </c>
    </row>
    <row r="2406" spans="1:3" x14ac:dyDescent="0.25">
      <c r="A2406" t="s">
        <v>2228</v>
      </c>
      <c r="B2406" t="str">
        <f>"60.0413"</f>
        <v>60.0413</v>
      </c>
      <c r="C2406" t="str">
        <f t="shared" si="60"/>
        <v>60</v>
      </c>
    </row>
    <row r="2407" spans="1:3" x14ac:dyDescent="0.25">
      <c r="A2407" t="s">
        <v>2229</v>
      </c>
      <c r="B2407" t="str">
        <f>"60.0414"</f>
        <v>60.0414</v>
      </c>
      <c r="C2407" t="str">
        <f t="shared" si="60"/>
        <v>60</v>
      </c>
    </row>
    <row r="2408" spans="1:3" x14ac:dyDescent="0.25">
      <c r="A2408" t="s">
        <v>2230</v>
      </c>
      <c r="B2408" t="str">
        <f>"60.0415"</f>
        <v>60.0415</v>
      </c>
      <c r="C2408" t="str">
        <f t="shared" si="60"/>
        <v>60</v>
      </c>
    </row>
    <row r="2409" spans="1:3" x14ac:dyDescent="0.25">
      <c r="A2409" t="s">
        <v>2231</v>
      </c>
      <c r="B2409" t="str">
        <f>"60.0416"</f>
        <v>60.0416</v>
      </c>
      <c r="C2409" t="str">
        <f t="shared" si="60"/>
        <v>60</v>
      </c>
    </row>
    <row r="2410" spans="1:3" x14ac:dyDescent="0.25">
      <c r="A2410" t="s">
        <v>2232</v>
      </c>
      <c r="B2410" t="str">
        <f>"60.0417"</f>
        <v>60.0417</v>
      </c>
      <c r="C2410" t="str">
        <f t="shared" si="60"/>
        <v>60</v>
      </c>
    </row>
    <row r="2411" spans="1:3" x14ac:dyDescent="0.25">
      <c r="A2411" t="s">
        <v>2233</v>
      </c>
      <c r="B2411" t="str">
        <f>"60.0418"</f>
        <v>60.0418</v>
      </c>
      <c r="C2411" t="str">
        <f t="shared" si="60"/>
        <v>60</v>
      </c>
    </row>
    <row r="2412" spans="1:3" x14ac:dyDescent="0.25">
      <c r="A2412" t="s">
        <v>2234</v>
      </c>
      <c r="B2412" t="str">
        <f>"60.0419"</f>
        <v>60.0419</v>
      </c>
      <c r="C2412" t="str">
        <f t="shared" si="60"/>
        <v>60</v>
      </c>
    </row>
    <row r="2413" spans="1:3" x14ac:dyDescent="0.25">
      <c r="A2413" t="s">
        <v>2235</v>
      </c>
      <c r="B2413" t="str">
        <f>"60.0420"</f>
        <v>60.0420</v>
      </c>
      <c r="C2413" t="str">
        <f t="shared" si="60"/>
        <v>60</v>
      </c>
    </row>
    <row r="2414" spans="1:3" x14ac:dyDescent="0.25">
      <c r="A2414" t="s">
        <v>2236</v>
      </c>
      <c r="B2414" t="str">
        <f>"60.0421"</f>
        <v>60.0421</v>
      </c>
      <c r="C2414" t="str">
        <f t="shared" si="60"/>
        <v>60</v>
      </c>
    </row>
    <row r="2415" spans="1:3" x14ac:dyDescent="0.25">
      <c r="A2415" t="s">
        <v>2237</v>
      </c>
      <c r="B2415" t="str">
        <f>"60.0422"</f>
        <v>60.0422</v>
      </c>
      <c r="C2415" t="str">
        <f t="shared" si="60"/>
        <v>60</v>
      </c>
    </row>
    <row r="2416" spans="1:3" x14ac:dyDescent="0.25">
      <c r="A2416" t="s">
        <v>2238</v>
      </c>
      <c r="B2416" t="str">
        <f>"60.0423"</f>
        <v>60.0423</v>
      </c>
      <c r="C2416" t="str">
        <f t="shared" si="60"/>
        <v>60</v>
      </c>
    </row>
    <row r="2417" spans="1:3" x14ac:dyDescent="0.25">
      <c r="A2417" t="s">
        <v>2239</v>
      </c>
      <c r="B2417" t="str">
        <f>"60.0424"</f>
        <v>60.0424</v>
      </c>
      <c r="C2417" t="str">
        <f t="shared" si="60"/>
        <v>60</v>
      </c>
    </row>
    <row r="2418" spans="1:3" x14ac:dyDescent="0.25">
      <c r="A2418" t="s">
        <v>2240</v>
      </c>
      <c r="B2418" t="str">
        <f>"60.0425"</f>
        <v>60.0425</v>
      </c>
      <c r="C2418" t="str">
        <f t="shared" si="60"/>
        <v>60</v>
      </c>
    </row>
    <row r="2419" spans="1:3" x14ac:dyDescent="0.25">
      <c r="A2419" t="s">
        <v>2241</v>
      </c>
      <c r="B2419" t="str">
        <f>"60.0426"</f>
        <v>60.0426</v>
      </c>
      <c r="C2419" t="str">
        <f t="shared" si="60"/>
        <v>60</v>
      </c>
    </row>
    <row r="2420" spans="1:3" x14ac:dyDescent="0.25">
      <c r="A2420" t="s">
        <v>2242</v>
      </c>
      <c r="B2420" t="str">
        <f>"60.0427"</f>
        <v>60.0427</v>
      </c>
      <c r="C2420" t="str">
        <f t="shared" si="60"/>
        <v>60</v>
      </c>
    </row>
    <row r="2421" spans="1:3" x14ac:dyDescent="0.25">
      <c r="A2421" t="s">
        <v>2243</v>
      </c>
      <c r="B2421" t="str">
        <f>"60.0428"</f>
        <v>60.0428</v>
      </c>
      <c r="C2421" t="str">
        <f t="shared" si="60"/>
        <v>60</v>
      </c>
    </row>
    <row r="2422" spans="1:3" x14ac:dyDescent="0.25">
      <c r="A2422" t="s">
        <v>2244</v>
      </c>
      <c r="B2422" t="str">
        <f>"60.0429"</f>
        <v>60.0429</v>
      </c>
      <c r="C2422" t="str">
        <f t="shared" si="60"/>
        <v>60</v>
      </c>
    </row>
    <row r="2423" spans="1:3" x14ac:dyDescent="0.25">
      <c r="A2423" t="s">
        <v>2245</v>
      </c>
      <c r="B2423" t="str">
        <f>"60.0430"</f>
        <v>60.0430</v>
      </c>
      <c r="C2423" t="str">
        <f t="shared" ref="C2423:C2486" si="61">"60"</f>
        <v>60</v>
      </c>
    </row>
    <row r="2424" spans="1:3" x14ac:dyDescent="0.25">
      <c r="A2424" t="s">
        <v>2246</v>
      </c>
      <c r="B2424" t="str">
        <f>"60.0431"</f>
        <v>60.0431</v>
      </c>
      <c r="C2424" t="str">
        <f t="shared" si="61"/>
        <v>60</v>
      </c>
    </row>
    <row r="2425" spans="1:3" x14ac:dyDescent="0.25">
      <c r="A2425" t="s">
        <v>2247</v>
      </c>
      <c r="B2425" t="str">
        <f>"60.0432"</f>
        <v>60.0432</v>
      </c>
      <c r="C2425" t="str">
        <f t="shared" si="61"/>
        <v>60</v>
      </c>
    </row>
    <row r="2426" spans="1:3" x14ac:dyDescent="0.25">
      <c r="A2426" t="s">
        <v>2248</v>
      </c>
      <c r="B2426" t="str">
        <f>"60.0433"</f>
        <v>60.0433</v>
      </c>
      <c r="C2426" t="str">
        <f t="shared" si="61"/>
        <v>60</v>
      </c>
    </row>
    <row r="2427" spans="1:3" x14ac:dyDescent="0.25">
      <c r="A2427" t="s">
        <v>2249</v>
      </c>
      <c r="B2427" t="str">
        <f>"60.0434"</f>
        <v>60.0434</v>
      </c>
      <c r="C2427" t="str">
        <f t="shared" si="61"/>
        <v>60</v>
      </c>
    </row>
    <row r="2428" spans="1:3" x14ac:dyDescent="0.25">
      <c r="A2428" t="s">
        <v>2250</v>
      </c>
      <c r="B2428" t="str">
        <f>"60.0499"</f>
        <v>60.0499</v>
      </c>
      <c r="C2428" t="str">
        <f t="shared" si="61"/>
        <v>60</v>
      </c>
    </row>
    <row r="2429" spans="1:3" x14ac:dyDescent="0.25">
      <c r="A2429" t="s">
        <v>2251</v>
      </c>
      <c r="B2429" t="str">
        <f>"60.05"</f>
        <v>60.05</v>
      </c>
      <c r="C2429" t="str">
        <f t="shared" si="61"/>
        <v>60</v>
      </c>
    </row>
    <row r="2430" spans="1:3" x14ac:dyDescent="0.25">
      <c r="A2430" t="s">
        <v>2252</v>
      </c>
      <c r="B2430" t="str">
        <f>"60.0501"</f>
        <v>60.0501</v>
      </c>
      <c r="C2430" t="str">
        <f t="shared" si="61"/>
        <v>60</v>
      </c>
    </row>
    <row r="2431" spans="1:3" x14ac:dyDescent="0.25">
      <c r="A2431" t="s">
        <v>2253</v>
      </c>
      <c r="B2431" t="str">
        <f>"60.0502"</f>
        <v>60.0502</v>
      </c>
      <c r="C2431" t="str">
        <f t="shared" si="61"/>
        <v>60</v>
      </c>
    </row>
    <row r="2432" spans="1:3" x14ac:dyDescent="0.25">
      <c r="A2432" t="s">
        <v>2254</v>
      </c>
      <c r="B2432" t="str">
        <f>"60.0503"</f>
        <v>60.0503</v>
      </c>
      <c r="C2432" t="str">
        <f t="shared" si="61"/>
        <v>60</v>
      </c>
    </row>
    <row r="2433" spans="1:3" x14ac:dyDescent="0.25">
      <c r="A2433" t="s">
        <v>2255</v>
      </c>
      <c r="B2433" t="str">
        <f>"60.0504"</f>
        <v>60.0504</v>
      </c>
      <c r="C2433" t="str">
        <f t="shared" si="61"/>
        <v>60</v>
      </c>
    </row>
    <row r="2434" spans="1:3" x14ac:dyDescent="0.25">
      <c r="A2434" t="s">
        <v>2256</v>
      </c>
      <c r="B2434" t="str">
        <f>"60.0505"</f>
        <v>60.0505</v>
      </c>
      <c r="C2434" t="str">
        <f t="shared" si="61"/>
        <v>60</v>
      </c>
    </row>
    <row r="2435" spans="1:3" x14ac:dyDescent="0.25">
      <c r="A2435" t="s">
        <v>2257</v>
      </c>
      <c r="B2435" t="str">
        <f>"60.0506"</f>
        <v>60.0506</v>
      </c>
      <c r="C2435" t="str">
        <f t="shared" si="61"/>
        <v>60</v>
      </c>
    </row>
    <row r="2436" spans="1:3" x14ac:dyDescent="0.25">
      <c r="A2436" t="s">
        <v>2258</v>
      </c>
      <c r="B2436" t="str">
        <f>"60.0507"</f>
        <v>60.0507</v>
      </c>
      <c r="C2436" t="str">
        <f t="shared" si="61"/>
        <v>60</v>
      </c>
    </row>
    <row r="2437" spans="1:3" x14ac:dyDescent="0.25">
      <c r="A2437" t="s">
        <v>2259</v>
      </c>
      <c r="B2437" t="str">
        <f>"60.0508"</f>
        <v>60.0508</v>
      </c>
      <c r="C2437" t="str">
        <f t="shared" si="61"/>
        <v>60</v>
      </c>
    </row>
    <row r="2438" spans="1:3" x14ac:dyDescent="0.25">
      <c r="A2438" t="s">
        <v>2260</v>
      </c>
      <c r="B2438" t="str">
        <f>"60.0509"</f>
        <v>60.0509</v>
      </c>
      <c r="C2438" t="str">
        <f t="shared" si="61"/>
        <v>60</v>
      </c>
    </row>
    <row r="2439" spans="1:3" x14ac:dyDescent="0.25">
      <c r="A2439" t="s">
        <v>2261</v>
      </c>
      <c r="B2439" t="str">
        <f>"60.0510"</f>
        <v>60.0510</v>
      </c>
      <c r="C2439" t="str">
        <f t="shared" si="61"/>
        <v>60</v>
      </c>
    </row>
    <row r="2440" spans="1:3" x14ac:dyDescent="0.25">
      <c r="A2440" t="s">
        <v>2262</v>
      </c>
      <c r="B2440" t="str">
        <f>"60.0511"</f>
        <v>60.0511</v>
      </c>
      <c r="C2440" t="str">
        <f t="shared" si="61"/>
        <v>60</v>
      </c>
    </row>
    <row r="2441" spans="1:3" x14ac:dyDescent="0.25">
      <c r="A2441" t="s">
        <v>2263</v>
      </c>
      <c r="B2441" t="str">
        <f>"60.0512"</f>
        <v>60.0512</v>
      </c>
      <c r="C2441" t="str">
        <f t="shared" si="61"/>
        <v>60</v>
      </c>
    </row>
    <row r="2442" spans="1:3" x14ac:dyDescent="0.25">
      <c r="A2442" t="s">
        <v>2264</v>
      </c>
      <c r="B2442" t="str">
        <f>"60.0513"</f>
        <v>60.0513</v>
      </c>
      <c r="C2442" t="str">
        <f t="shared" si="61"/>
        <v>60</v>
      </c>
    </row>
    <row r="2443" spans="1:3" x14ac:dyDescent="0.25">
      <c r="A2443" t="s">
        <v>2265</v>
      </c>
      <c r="B2443" t="str">
        <f>"60.0514"</f>
        <v>60.0514</v>
      </c>
      <c r="C2443" t="str">
        <f t="shared" si="61"/>
        <v>60</v>
      </c>
    </row>
    <row r="2444" spans="1:3" x14ac:dyDescent="0.25">
      <c r="A2444" t="s">
        <v>2266</v>
      </c>
      <c r="B2444" t="str">
        <f>"60.0515"</f>
        <v>60.0515</v>
      </c>
      <c r="C2444" t="str">
        <f t="shared" si="61"/>
        <v>60</v>
      </c>
    </row>
    <row r="2445" spans="1:3" x14ac:dyDescent="0.25">
      <c r="A2445" t="s">
        <v>2267</v>
      </c>
      <c r="B2445" t="str">
        <f>"60.0516"</f>
        <v>60.0516</v>
      </c>
      <c r="C2445" t="str">
        <f t="shared" si="61"/>
        <v>60</v>
      </c>
    </row>
    <row r="2446" spans="1:3" x14ac:dyDescent="0.25">
      <c r="A2446" t="s">
        <v>2268</v>
      </c>
      <c r="B2446" t="str">
        <f>"60.0517"</f>
        <v>60.0517</v>
      </c>
      <c r="C2446" t="str">
        <f t="shared" si="61"/>
        <v>60</v>
      </c>
    </row>
    <row r="2447" spans="1:3" x14ac:dyDescent="0.25">
      <c r="A2447" t="s">
        <v>2269</v>
      </c>
      <c r="B2447" t="str">
        <f>"60.0518"</f>
        <v>60.0518</v>
      </c>
      <c r="C2447" t="str">
        <f t="shared" si="61"/>
        <v>60</v>
      </c>
    </row>
    <row r="2448" spans="1:3" x14ac:dyDescent="0.25">
      <c r="A2448" t="s">
        <v>2270</v>
      </c>
      <c r="B2448" t="str">
        <f>"60.0519"</f>
        <v>60.0519</v>
      </c>
      <c r="C2448" t="str">
        <f t="shared" si="61"/>
        <v>60</v>
      </c>
    </row>
    <row r="2449" spans="1:3" x14ac:dyDescent="0.25">
      <c r="A2449" t="s">
        <v>2271</v>
      </c>
      <c r="B2449" t="str">
        <f>"60.0520"</f>
        <v>60.0520</v>
      </c>
      <c r="C2449" t="str">
        <f t="shared" si="61"/>
        <v>60</v>
      </c>
    </row>
    <row r="2450" spans="1:3" x14ac:dyDescent="0.25">
      <c r="A2450" t="s">
        <v>2272</v>
      </c>
      <c r="B2450" t="str">
        <f>"60.0521"</f>
        <v>60.0521</v>
      </c>
      <c r="C2450" t="str">
        <f t="shared" si="61"/>
        <v>60</v>
      </c>
    </row>
    <row r="2451" spans="1:3" x14ac:dyDescent="0.25">
      <c r="A2451" t="s">
        <v>2273</v>
      </c>
      <c r="B2451" t="str">
        <f>"60.0522"</f>
        <v>60.0522</v>
      </c>
      <c r="C2451" t="str">
        <f t="shared" si="61"/>
        <v>60</v>
      </c>
    </row>
    <row r="2452" spans="1:3" x14ac:dyDescent="0.25">
      <c r="A2452" t="s">
        <v>2274</v>
      </c>
      <c r="B2452" t="str">
        <f>"60.0523"</f>
        <v>60.0523</v>
      </c>
      <c r="C2452" t="str">
        <f t="shared" si="61"/>
        <v>60</v>
      </c>
    </row>
    <row r="2453" spans="1:3" x14ac:dyDescent="0.25">
      <c r="A2453" t="s">
        <v>2275</v>
      </c>
      <c r="B2453" t="str">
        <f>"60.0524"</f>
        <v>60.0524</v>
      </c>
      <c r="C2453" t="str">
        <f t="shared" si="61"/>
        <v>60</v>
      </c>
    </row>
    <row r="2454" spans="1:3" x14ac:dyDescent="0.25">
      <c r="A2454" t="s">
        <v>2276</v>
      </c>
      <c r="B2454" t="str">
        <f>"60.0525"</f>
        <v>60.0525</v>
      </c>
      <c r="C2454" t="str">
        <f t="shared" si="61"/>
        <v>60</v>
      </c>
    </row>
    <row r="2455" spans="1:3" x14ac:dyDescent="0.25">
      <c r="A2455" t="s">
        <v>2277</v>
      </c>
      <c r="B2455" t="str">
        <f>"60.0526"</f>
        <v>60.0526</v>
      </c>
      <c r="C2455" t="str">
        <f t="shared" si="61"/>
        <v>60</v>
      </c>
    </row>
    <row r="2456" spans="1:3" x14ac:dyDescent="0.25">
      <c r="A2456" t="s">
        <v>2278</v>
      </c>
      <c r="B2456" t="str">
        <f>"60.0527"</f>
        <v>60.0527</v>
      </c>
      <c r="C2456" t="str">
        <f t="shared" si="61"/>
        <v>60</v>
      </c>
    </row>
    <row r="2457" spans="1:3" x14ac:dyDescent="0.25">
      <c r="A2457" t="s">
        <v>2279</v>
      </c>
      <c r="B2457" t="str">
        <f>"60.0528"</f>
        <v>60.0528</v>
      </c>
      <c r="C2457" t="str">
        <f t="shared" si="61"/>
        <v>60</v>
      </c>
    </row>
    <row r="2458" spans="1:3" x14ac:dyDescent="0.25">
      <c r="A2458" t="s">
        <v>2280</v>
      </c>
      <c r="B2458" t="str">
        <f>"60.0529"</f>
        <v>60.0529</v>
      </c>
      <c r="C2458" t="str">
        <f t="shared" si="61"/>
        <v>60</v>
      </c>
    </row>
    <row r="2459" spans="1:3" x14ac:dyDescent="0.25">
      <c r="A2459" t="s">
        <v>2281</v>
      </c>
      <c r="B2459" t="str">
        <f>"60.0530"</f>
        <v>60.0530</v>
      </c>
      <c r="C2459" t="str">
        <f t="shared" si="61"/>
        <v>60</v>
      </c>
    </row>
    <row r="2460" spans="1:3" x14ac:dyDescent="0.25">
      <c r="A2460" t="s">
        <v>2282</v>
      </c>
      <c r="B2460" t="str">
        <f>"60.0531"</f>
        <v>60.0531</v>
      </c>
      <c r="C2460" t="str">
        <f t="shared" si="61"/>
        <v>60</v>
      </c>
    </row>
    <row r="2461" spans="1:3" x14ac:dyDescent="0.25">
      <c r="A2461" t="s">
        <v>2283</v>
      </c>
      <c r="B2461" t="str">
        <f>"60.0532"</f>
        <v>60.0532</v>
      </c>
      <c r="C2461" t="str">
        <f t="shared" si="61"/>
        <v>60</v>
      </c>
    </row>
    <row r="2462" spans="1:3" x14ac:dyDescent="0.25">
      <c r="A2462" t="s">
        <v>2284</v>
      </c>
      <c r="B2462" t="str">
        <f>"60.0533"</f>
        <v>60.0533</v>
      </c>
      <c r="C2462" t="str">
        <f t="shared" si="61"/>
        <v>60</v>
      </c>
    </row>
    <row r="2463" spans="1:3" x14ac:dyDescent="0.25">
      <c r="A2463" t="s">
        <v>2285</v>
      </c>
      <c r="B2463" t="str">
        <f>"60.0534"</f>
        <v>60.0534</v>
      </c>
      <c r="C2463" t="str">
        <f t="shared" si="61"/>
        <v>60</v>
      </c>
    </row>
    <row r="2464" spans="1:3" x14ac:dyDescent="0.25">
      <c r="A2464" t="s">
        <v>2286</v>
      </c>
      <c r="B2464" t="str">
        <f>"60.0535"</f>
        <v>60.0535</v>
      </c>
      <c r="C2464" t="str">
        <f t="shared" si="61"/>
        <v>60</v>
      </c>
    </row>
    <row r="2465" spans="1:3" x14ac:dyDescent="0.25">
      <c r="A2465" t="s">
        <v>2287</v>
      </c>
      <c r="B2465" t="str">
        <f>"60.0536"</f>
        <v>60.0536</v>
      </c>
      <c r="C2465" t="str">
        <f t="shared" si="61"/>
        <v>60</v>
      </c>
    </row>
    <row r="2466" spans="1:3" x14ac:dyDescent="0.25">
      <c r="A2466" t="s">
        <v>2288</v>
      </c>
      <c r="B2466" t="str">
        <f>"60.0537"</f>
        <v>60.0537</v>
      </c>
      <c r="C2466" t="str">
        <f t="shared" si="61"/>
        <v>60</v>
      </c>
    </row>
    <row r="2467" spans="1:3" x14ac:dyDescent="0.25">
      <c r="A2467" t="s">
        <v>2289</v>
      </c>
      <c r="B2467" t="str">
        <f>"60.0538"</f>
        <v>60.0538</v>
      </c>
      <c r="C2467" t="str">
        <f t="shared" si="61"/>
        <v>60</v>
      </c>
    </row>
    <row r="2468" spans="1:3" x14ac:dyDescent="0.25">
      <c r="A2468" t="s">
        <v>2290</v>
      </c>
      <c r="B2468" t="str">
        <f>"60.0539"</f>
        <v>60.0539</v>
      </c>
      <c r="C2468" t="str">
        <f t="shared" si="61"/>
        <v>60</v>
      </c>
    </row>
    <row r="2469" spans="1:3" x14ac:dyDescent="0.25">
      <c r="A2469" t="s">
        <v>2291</v>
      </c>
      <c r="B2469" t="str">
        <f>"60.0540"</f>
        <v>60.0540</v>
      </c>
      <c r="C2469" t="str">
        <f t="shared" si="61"/>
        <v>60</v>
      </c>
    </row>
    <row r="2470" spans="1:3" x14ac:dyDescent="0.25">
      <c r="A2470" t="s">
        <v>2292</v>
      </c>
      <c r="B2470" t="str">
        <f>"60.0541"</f>
        <v>60.0541</v>
      </c>
      <c r="C2470" t="str">
        <f t="shared" si="61"/>
        <v>60</v>
      </c>
    </row>
    <row r="2471" spans="1:3" x14ac:dyDescent="0.25">
      <c r="A2471" t="s">
        <v>2293</v>
      </c>
      <c r="B2471" t="str">
        <f>"60.0542"</f>
        <v>60.0542</v>
      </c>
      <c r="C2471" t="str">
        <f t="shared" si="61"/>
        <v>60</v>
      </c>
    </row>
    <row r="2472" spans="1:3" x14ac:dyDescent="0.25">
      <c r="A2472" t="s">
        <v>2294</v>
      </c>
      <c r="B2472" t="str">
        <f>"60.0543"</f>
        <v>60.0543</v>
      </c>
      <c r="C2472" t="str">
        <f t="shared" si="61"/>
        <v>60</v>
      </c>
    </row>
    <row r="2473" spans="1:3" x14ac:dyDescent="0.25">
      <c r="A2473" t="s">
        <v>2295</v>
      </c>
      <c r="B2473" t="str">
        <f>"60.0544"</f>
        <v>60.0544</v>
      </c>
      <c r="C2473" t="str">
        <f t="shared" si="61"/>
        <v>60</v>
      </c>
    </row>
    <row r="2474" spans="1:3" x14ac:dyDescent="0.25">
      <c r="A2474" t="s">
        <v>2296</v>
      </c>
      <c r="B2474" t="str">
        <f>"60.0545"</f>
        <v>60.0545</v>
      </c>
      <c r="C2474" t="str">
        <f t="shared" si="61"/>
        <v>60</v>
      </c>
    </row>
    <row r="2475" spans="1:3" x14ac:dyDescent="0.25">
      <c r="A2475" t="s">
        <v>2297</v>
      </c>
      <c r="B2475" t="str">
        <f>"60.0546"</f>
        <v>60.0546</v>
      </c>
      <c r="C2475" t="str">
        <f t="shared" si="61"/>
        <v>60</v>
      </c>
    </row>
    <row r="2476" spans="1:3" x14ac:dyDescent="0.25">
      <c r="A2476" t="s">
        <v>2298</v>
      </c>
      <c r="B2476" t="str">
        <f>"60.0547"</f>
        <v>60.0547</v>
      </c>
      <c r="C2476" t="str">
        <f t="shared" si="61"/>
        <v>60</v>
      </c>
    </row>
    <row r="2477" spans="1:3" x14ac:dyDescent="0.25">
      <c r="A2477" t="s">
        <v>2299</v>
      </c>
      <c r="B2477" t="str">
        <f>"60.0548"</f>
        <v>60.0548</v>
      </c>
      <c r="C2477" t="str">
        <f t="shared" si="61"/>
        <v>60</v>
      </c>
    </row>
    <row r="2478" spans="1:3" x14ac:dyDescent="0.25">
      <c r="A2478" t="s">
        <v>2300</v>
      </c>
      <c r="B2478" t="str">
        <f>"60.0549"</f>
        <v>60.0549</v>
      </c>
      <c r="C2478" t="str">
        <f t="shared" si="61"/>
        <v>60</v>
      </c>
    </row>
    <row r="2479" spans="1:3" x14ac:dyDescent="0.25">
      <c r="A2479" t="s">
        <v>2301</v>
      </c>
      <c r="B2479" t="str">
        <f>"60.0550"</f>
        <v>60.0550</v>
      </c>
      <c r="C2479" t="str">
        <f t="shared" si="61"/>
        <v>60</v>
      </c>
    </row>
    <row r="2480" spans="1:3" x14ac:dyDescent="0.25">
      <c r="A2480" t="s">
        <v>2302</v>
      </c>
      <c r="B2480" t="str">
        <f>"60.0551"</f>
        <v>60.0551</v>
      </c>
      <c r="C2480" t="str">
        <f t="shared" si="61"/>
        <v>60</v>
      </c>
    </row>
    <row r="2481" spans="1:3" x14ac:dyDescent="0.25">
      <c r="A2481" t="s">
        <v>2303</v>
      </c>
      <c r="B2481" t="str">
        <f>"60.0552"</f>
        <v>60.0552</v>
      </c>
      <c r="C2481" t="str">
        <f t="shared" si="61"/>
        <v>60</v>
      </c>
    </row>
    <row r="2482" spans="1:3" x14ac:dyDescent="0.25">
      <c r="A2482" t="s">
        <v>2304</v>
      </c>
      <c r="B2482" t="str">
        <f>"60.0553"</f>
        <v>60.0553</v>
      </c>
      <c r="C2482" t="str">
        <f t="shared" si="61"/>
        <v>60</v>
      </c>
    </row>
    <row r="2483" spans="1:3" x14ac:dyDescent="0.25">
      <c r="A2483" t="s">
        <v>2305</v>
      </c>
      <c r="B2483" t="str">
        <f>"60.0554"</f>
        <v>60.0554</v>
      </c>
      <c r="C2483" t="str">
        <f t="shared" si="61"/>
        <v>60</v>
      </c>
    </row>
    <row r="2484" spans="1:3" x14ac:dyDescent="0.25">
      <c r="A2484" t="s">
        <v>2306</v>
      </c>
      <c r="B2484" t="str">
        <f>"60.0555"</f>
        <v>60.0555</v>
      </c>
      <c r="C2484" t="str">
        <f t="shared" si="61"/>
        <v>60</v>
      </c>
    </row>
    <row r="2485" spans="1:3" x14ac:dyDescent="0.25">
      <c r="A2485" t="s">
        <v>2307</v>
      </c>
      <c r="B2485" t="str">
        <f>"60.0556"</f>
        <v>60.0556</v>
      </c>
      <c r="C2485" t="str">
        <f t="shared" si="61"/>
        <v>60</v>
      </c>
    </row>
    <row r="2486" spans="1:3" x14ac:dyDescent="0.25">
      <c r="A2486" t="s">
        <v>2308</v>
      </c>
      <c r="B2486" t="str">
        <f>"60.0557"</f>
        <v>60.0557</v>
      </c>
      <c r="C2486" t="str">
        <f t="shared" si="61"/>
        <v>60</v>
      </c>
    </row>
    <row r="2487" spans="1:3" x14ac:dyDescent="0.25">
      <c r="A2487" t="s">
        <v>2309</v>
      </c>
      <c r="B2487" t="str">
        <f>"60.0558"</f>
        <v>60.0558</v>
      </c>
      <c r="C2487" t="str">
        <f t="shared" ref="C2487:C2550" si="62">"60"</f>
        <v>60</v>
      </c>
    </row>
    <row r="2488" spans="1:3" x14ac:dyDescent="0.25">
      <c r="A2488" t="s">
        <v>2310</v>
      </c>
      <c r="B2488" t="str">
        <f>"60.0559"</f>
        <v>60.0559</v>
      </c>
      <c r="C2488" t="str">
        <f t="shared" si="62"/>
        <v>60</v>
      </c>
    </row>
    <row r="2489" spans="1:3" x14ac:dyDescent="0.25">
      <c r="A2489" t="s">
        <v>2311</v>
      </c>
      <c r="B2489" t="str">
        <f>"60.0560"</f>
        <v>60.0560</v>
      </c>
      <c r="C2489" t="str">
        <f t="shared" si="62"/>
        <v>60</v>
      </c>
    </row>
    <row r="2490" spans="1:3" x14ac:dyDescent="0.25">
      <c r="A2490" t="s">
        <v>2312</v>
      </c>
      <c r="B2490" t="str">
        <f>"60.0561"</f>
        <v>60.0561</v>
      </c>
      <c r="C2490" t="str">
        <f t="shared" si="62"/>
        <v>60</v>
      </c>
    </row>
    <row r="2491" spans="1:3" x14ac:dyDescent="0.25">
      <c r="A2491" t="s">
        <v>2313</v>
      </c>
      <c r="B2491" t="str">
        <f>"60.0562"</f>
        <v>60.0562</v>
      </c>
      <c r="C2491" t="str">
        <f t="shared" si="62"/>
        <v>60</v>
      </c>
    </row>
    <row r="2492" spans="1:3" x14ac:dyDescent="0.25">
      <c r="A2492" t="s">
        <v>2314</v>
      </c>
      <c r="B2492" t="str">
        <f>"60.0563"</f>
        <v>60.0563</v>
      </c>
      <c r="C2492" t="str">
        <f t="shared" si="62"/>
        <v>60</v>
      </c>
    </row>
    <row r="2493" spans="1:3" x14ac:dyDescent="0.25">
      <c r="A2493" t="s">
        <v>2315</v>
      </c>
      <c r="B2493" t="str">
        <f>"60.0564"</f>
        <v>60.0564</v>
      </c>
      <c r="C2493" t="str">
        <f t="shared" si="62"/>
        <v>60</v>
      </c>
    </row>
    <row r="2494" spans="1:3" x14ac:dyDescent="0.25">
      <c r="A2494" t="s">
        <v>2316</v>
      </c>
      <c r="B2494" t="str">
        <f>"60.0565"</f>
        <v>60.0565</v>
      </c>
      <c r="C2494" t="str">
        <f t="shared" si="62"/>
        <v>60</v>
      </c>
    </row>
    <row r="2495" spans="1:3" x14ac:dyDescent="0.25">
      <c r="A2495" t="s">
        <v>2317</v>
      </c>
      <c r="B2495" t="str">
        <f>"60.0566"</f>
        <v>60.0566</v>
      </c>
      <c r="C2495" t="str">
        <f t="shared" si="62"/>
        <v>60</v>
      </c>
    </row>
    <row r="2496" spans="1:3" x14ac:dyDescent="0.25">
      <c r="A2496" t="s">
        <v>2318</v>
      </c>
      <c r="B2496" t="str">
        <f>"60.0567"</f>
        <v>60.0567</v>
      </c>
      <c r="C2496" t="str">
        <f t="shared" si="62"/>
        <v>60</v>
      </c>
    </row>
    <row r="2497" spans="1:3" x14ac:dyDescent="0.25">
      <c r="A2497" t="s">
        <v>2319</v>
      </c>
      <c r="B2497" t="str">
        <f>"60.0568"</f>
        <v>60.0568</v>
      </c>
      <c r="C2497" t="str">
        <f t="shared" si="62"/>
        <v>60</v>
      </c>
    </row>
    <row r="2498" spans="1:3" x14ac:dyDescent="0.25">
      <c r="A2498" t="s">
        <v>2320</v>
      </c>
      <c r="B2498" t="str">
        <f>"60.0569"</f>
        <v>60.0569</v>
      </c>
      <c r="C2498" t="str">
        <f t="shared" si="62"/>
        <v>60</v>
      </c>
    </row>
    <row r="2499" spans="1:3" x14ac:dyDescent="0.25">
      <c r="A2499" t="s">
        <v>2321</v>
      </c>
      <c r="B2499" t="str">
        <f>"60.0570"</f>
        <v>60.0570</v>
      </c>
      <c r="C2499" t="str">
        <f t="shared" si="62"/>
        <v>60</v>
      </c>
    </row>
    <row r="2500" spans="1:3" x14ac:dyDescent="0.25">
      <c r="A2500" t="s">
        <v>2322</v>
      </c>
      <c r="B2500" t="str">
        <f>"60.0571"</f>
        <v>60.0571</v>
      </c>
      <c r="C2500" t="str">
        <f t="shared" si="62"/>
        <v>60</v>
      </c>
    </row>
    <row r="2501" spans="1:3" x14ac:dyDescent="0.25">
      <c r="A2501" t="s">
        <v>2323</v>
      </c>
      <c r="B2501" t="str">
        <f>"60.0572"</f>
        <v>60.0572</v>
      </c>
      <c r="C2501" t="str">
        <f t="shared" si="62"/>
        <v>60</v>
      </c>
    </row>
    <row r="2502" spans="1:3" x14ac:dyDescent="0.25">
      <c r="A2502" t="s">
        <v>2324</v>
      </c>
      <c r="B2502" t="str">
        <f>"60.0573"</f>
        <v>60.0573</v>
      </c>
      <c r="C2502" t="str">
        <f t="shared" si="62"/>
        <v>60</v>
      </c>
    </row>
    <row r="2503" spans="1:3" x14ac:dyDescent="0.25">
      <c r="A2503" t="s">
        <v>2325</v>
      </c>
      <c r="B2503" t="str">
        <f>"60.0574"</f>
        <v>60.0574</v>
      </c>
      <c r="C2503" t="str">
        <f t="shared" si="62"/>
        <v>60</v>
      </c>
    </row>
    <row r="2504" spans="1:3" x14ac:dyDescent="0.25">
      <c r="A2504" t="s">
        <v>2326</v>
      </c>
      <c r="B2504" t="str">
        <f>"60.0575"</f>
        <v>60.0575</v>
      </c>
      <c r="C2504" t="str">
        <f t="shared" si="62"/>
        <v>60</v>
      </c>
    </row>
    <row r="2505" spans="1:3" x14ac:dyDescent="0.25">
      <c r="A2505" t="s">
        <v>2327</v>
      </c>
      <c r="B2505" t="str">
        <f>"60.0576"</f>
        <v>60.0576</v>
      </c>
      <c r="C2505" t="str">
        <f t="shared" si="62"/>
        <v>60</v>
      </c>
    </row>
    <row r="2506" spans="1:3" x14ac:dyDescent="0.25">
      <c r="A2506" t="s">
        <v>2328</v>
      </c>
      <c r="B2506" t="str">
        <f>"60.0577"</f>
        <v>60.0577</v>
      </c>
      <c r="C2506" t="str">
        <f t="shared" si="62"/>
        <v>60</v>
      </c>
    </row>
    <row r="2507" spans="1:3" x14ac:dyDescent="0.25">
      <c r="A2507" t="s">
        <v>2329</v>
      </c>
      <c r="B2507" t="str">
        <f>"60.0578"</f>
        <v>60.0578</v>
      </c>
      <c r="C2507" t="str">
        <f t="shared" si="62"/>
        <v>60</v>
      </c>
    </row>
    <row r="2508" spans="1:3" x14ac:dyDescent="0.25">
      <c r="A2508" t="s">
        <v>2330</v>
      </c>
      <c r="B2508" t="str">
        <f>"60.0579"</f>
        <v>60.0579</v>
      </c>
      <c r="C2508" t="str">
        <f t="shared" si="62"/>
        <v>60</v>
      </c>
    </row>
    <row r="2509" spans="1:3" x14ac:dyDescent="0.25">
      <c r="A2509" t="s">
        <v>2331</v>
      </c>
      <c r="B2509" t="str">
        <f>"60.0580"</f>
        <v>60.0580</v>
      </c>
      <c r="C2509" t="str">
        <f t="shared" si="62"/>
        <v>60</v>
      </c>
    </row>
    <row r="2510" spans="1:3" x14ac:dyDescent="0.25">
      <c r="A2510" t="s">
        <v>2332</v>
      </c>
      <c r="B2510" t="str">
        <f>"60.0581"</f>
        <v>60.0581</v>
      </c>
      <c r="C2510" t="str">
        <f t="shared" si="62"/>
        <v>60</v>
      </c>
    </row>
    <row r="2511" spans="1:3" x14ac:dyDescent="0.25">
      <c r="A2511" t="s">
        <v>2333</v>
      </c>
      <c r="B2511" t="str">
        <f>"60.0582"</f>
        <v>60.0582</v>
      </c>
      <c r="C2511" t="str">
        <f t="shared" si="62"/>
        <v>60</v>
      </c>
    </row>
    <row r="2512" spans="1:3" x14ac:dyDescent="0.25">
      <c r="A2512" t="s">
        <v>2334</v>
      </c>
      <c r="B2512" t="str">
        <f>"60.0583"</f>
        <v>60.0583</v>
      </c>
      <c r="C2512" t="str">
        <f t="shared" si="62"/>
        <v>60</v>
      </c>
    </row>
    <row r="2513" spans="1:3" x14ac:dyDescent="0.25">
      <c r="A2513" t="s">
        <v>2335</v>
      </c>
      <c r="B2513" t="str">
        <f>"60.0584"</f>
        <v>60.0584</v>
      </c>
      <c r="C2513" t="str">
        <f t="shared" si="62"/>
        <v>60</v>
      </c>
    </row>
    <row r="2514" spans="1:3" x14ac:dyDescent="0.25">
      <c r="A2514" t="s">
        <v>2336</v>
      </c>
      <c r="B2514" t="str">
        <f>"60.0599"</f>
        <v>60.0599</v>
      </c>
      <c r="C2514" t="str">
        <f t="shared" si="62"/>
        <v>60</v>
      </c>
    </row>
    <row r="2515" spans="1:3" x14ac:dyDescent="0.25">
      <c r="A2515" t="s">
        <v>2337</v>
      </c>
      <c r="B2515" t="str">
        <f>"60.06"</f>
        <v>60.06</v>
      </c>
      <c r="C2515" t="str">
        <f t="shared" si="62"/>
        <v>60</v>
      </c>
    </row>
    <row r="2516" spans="1:3" x14ac:dyDescent="0.25">
      <c r="A2516" t="s">
        <v>2338</v>
      </c>
      <c r="B2516" t="str">
        <f>"60.0601"</f>
        <v>60.0601</v>
      </c>
      <c r="C2516" t="str">
        <f t="shared" si="62"/>
        <v>60</v>
      </c>
    </row>
    <row r="2517" spans="1:3" x14ac:dyDescent="0.25">
      <c r="A2517" t="s">
        <v>2339</v>
      </c>
      <c r="B2517" t="str">
        <f>"60.0602"</f>
        <v>60.0602</v>
      </c>
      <c r="C2517" t="str">
        <f t="shared" si="62"/>
        <v>60</v>
      </c>
    </row>
    <row r="2518" spans="1:3" x14ac:dyDescent="0.25">
      <c r="A2518" t="s">
        <v>2340</v>
      </c>
      <c r="B2518" t="str">
        <f>"60.07"</f>
        <v>60.07</v>
      </c>
      <c r="C2518" t="str">
        <f t="shared" si="62"/>
        <v>60</v>
      </c>
    </row>
    <row r="2519" spans="1:3" x14ac:dyDescent="0.25">
      <c r="A2519" t="s">
        <v>2341</v>
      </c>
      <c r="B2519" t="str">
        <f>"60.0701"</f>
        <v>60.0701</v>
      </c>
      <c r="C2519" t="str">
        <f t="shared" si="62"/>
        <v>60</v>
      </c>
    </row>
    <row r="2520" spans="1:3" x14ac:dyDescent="0.25">
      <c r="A2520" t="s">
        <v>2342</v>
      </c>
      <c r="B2520" t="str">
        <f>"60.0702"</f>
        <v>60.0702</v>
      </c>
      <c r="C2520" t="str">
        <f t="shared" si="62"/>
        <v>60</v>
      </c>
    </row>
    <row r="2521" spans="1:3" x14ac:dyDescent="0.25">
      <c r="A2521" t="s">
        <v>2343</v>
      </c>
      <c r="B2521" t="str">
        <f>"60.0703"</f>
        <v>60.0703</v>
      </c>
      <c r="C2521" t="str">
        <f t="shared" si="62"/>
        <v>60</v>
      </c>
    </row>
    <row r="2522" spans="1:3" x14ac:dyDescent="0.25">
      <c r="A2522" t="s">
        <v>2344</v>
      </c>
      <c r="B2522" t="str">
        <f>"60.0704"</f>
        <v>60.0704</v>
      </c>
      <c r="C2522" t="str">
        <f t="shared" si="62"/>
        <v>60</v>
      </c>
    </row>
    <row r="2523" spans="1:3" x14ac:dyDescent="0.25">
      <c r="A2523" t="s">
        <v>2345</v>
      </c>
      <c r="B2523" t="str">
        <f>"60.0705"</f>
        <v>60.0705</v>
      </c>
      <c r="C2523" t="str">
        <f t="shared" si="62"/>
        <v>60</v>
      </c>
    </row>
    <row r="2524" spans="1:3" x14ac:dyDescent="0.25">
      <c r="A2524" t="s">
        <v>2346</v>
      </c>
      <c r="B2524" t="str">
        <f>"60.0706"</f>
        <v>60.0706</v>
      </c>
      <c r="C2524" t="str">
        <f t="shared" si="62"/>
        <v>60</v>
      </c>
    </row>
    <row r="2525" spans="1:3" x14ac:dyDescent="0.25">
      <c r="A2525" t="s">
        <v>2347</v>
      </c>
      <c r="B2525" t="str">
        <f>"60.0707"</f>
        <v>60.0707</v>
      </c>
      <c r="C2525" t="str">
        <f t="shared" si="62"/>
        <v>60</v>
      </c>
    </row>
    <row r="2526" spans="1:3" x14ac:dyDescent="0.25">
      <c r="A2526" t="s">
        <v>2348</v>
      </c>
      <c r="B2526" t="str">
        <f>"60.0708"</f>
        <v>60.0708</v>
      </c>
      <c r="C2526" t="str">
        <f t="shared" si="62"/>
        <v>60</v>
      </c>
    </row>
    <row r="2527" spans="1:3" x14ac:dyDescent="0.25">
      <c r="A2527" t="s">
        <v>2349</v>
      </c>
      <c r="B2527" t="str">
        <f>"60.0709"</f>
        <v>60.0709</v>
      </c>
      <c r="C2527" t="str">
        <f t="shared" si="62"/>
        <v>60</v>
      </c>
    </row>
    <row r="2528" spans="1:3" x14ac:dyDescent="0.25">
      <c r="A2528" t="s">
        <v>2350</v>
      </c>
      <c r="B2528" t="str">
        <f>"60.0710"</f>
        <v>60.0710</v>
      </c>
      <c r="C2528" t="str">
        <f t="shared" si="62"/>
        <v>60</v>
      </c>
    </row>
    <row r="2529" spans="1:3" x14ac:dyDescent="0.25">
      <c r="A2529" t="s">
        <v>2351</v>
      </c>
      <c r="B2529" t="str">
        <f>"60.0711"</f>
        <v>60.0711</v>
      </c>
      <c r="C2529" t="str">
        <f t="shared" si="62"/>
        <v>60</v>
      </c>
    </row>
    <row r="2530" spans="1:3" x14ac:dyDescent="0.25">
      <c r="A2530" t="s">
        <v>2352</v>
      </c>
      <c r="B2530" t="str">
        <f>"60.0712"</f>
        <v>60.0712</v>
      </c>
      <c r="C2530" t="str">
        <f t="shared" si="62"/>
        <v>60</v>
      </c>
    </row>
    <row r="2531" spans="1:3" x14ac:dyDescent="0.25">
      <c r="A2531" t="s">
        <v>2353</v>
      </c>
      <c r="B2531" t="str">
        <f>"60.0713"</f>
        <v>60.0713</v>
      </c>
      <c r="C2531" t="str">
        <f t="shared" si="62"/>
        <v>60</v>
      </c>
    </row>
    <row r="2532" spans="1:3" x14ac:dyDescent="0.25">
      <c r="A2532" t="s">
        <v>2354</v>
      </c>
      <c r="B2532" t="str">
        <f>"60.0714"</f>
        <v>60.0714</v>
      </c>
      <c r="C2532" t="str">
        <f t="shared" si="62"/>
        <v>60</v>
      </c>
    </row>
    <row r="2533" spans="1:3" x14ac:dyDescent="0.25">
      <c r="A2533" t="s">
        <v>2355</v>
      </c>
      <c r="B2533" t="str">
        <f>"60.0715"</f>
        <v>60.0715</v>
      </c>
      <c r="C2533" t="str">
        <f t="shared" si="62"/>
        <v>60</v>
      </c>
    </row>
    <row r="2534" spans="1:3" x14ac:dyDescent="0.25">
      <c r="A2534" t="s">
        <v>2356</v>
      </c>
      <c r="B2534" t="str">
        <f>"60.0716"</f>
        <v>60.0716</v>
      </c>
      <c r="C2534" t="str">
        <f t="shared" si="62"/>
        <v>60</v>
      </c>
    </row>
    <row r="2535" spans="1:3" x14ac:dyDescent="0.25">
      <c r="A2535" t="s">
        <v>2357</v>
      </c>
      <c r="B2535" t="str">
        <f>"60.0717"</f>
        <v>60.0717</v>
      </c>
      <c r="C2535" t="str">
        <f t="shared" si="62"/>
        <v>60</v>
      </c>
    </row>
    <row r="2536" spans="1:3" x14ac:dyDescent="0.25">
      <c r="A2536" t="s">
        <v>2358</v>
      </c>
      <c r="B2536" t="str">
        <f>"60.0718"</f>
        <v>60.0718</v>
      </c>
      <c r="C2536" t="str">
        <f t="shared" si="62"/>
        <v>60</v>
      </c>
    </row>
    <row r="2537" spans="1:3" x14ac:dyDescent="0.25">
      <c r="A2537" t="s">
        <v>2359</v>
      </c>
      <c r="B2537" t="str">
        <f>"60.0719"</f>
        <v>60.0719</v>
      </c>
      <c r="C2537" t="str">
        <f t="shared" si="62"/>
        <v>60</v>
      </c>
    </row>
    <row r="2538" spans="1:3" x14ac:dyDescent="0.25">
      <c r="A2538" t="s">
        <v>2360</v>
      </c>
      <c r="B2538" t="str">
        <f>"60.0720"</f>
        <v>60.0720</v>
      </c>
      <c r="C2538" t="str">
        <f t="shared" si="62"/>
        <v>60</v>
      </c>
    </row>
    <row r="2539" spans="1:3" x14ac:dyDescent="0.25">
      <c r="A2539" t="s">
        <v>2361</v>
      </c>
      <c r="B2539" t="str">
        <f>"60.0721"</f>
        <v>60.0721</v>
      </c>
      <c r="C2539" t="str">
        <f t="shared" si="62"/>
        <v>60</v>
      </c>
    </row>
    <row r="2540" spans="1:3" x14ac:dyDescent="0.25">
      <c r="A2540" t="s">
        <v>2362</v>
      </c>
      <c r="B2540" t="str">
        <f>"60.0722"</f>
        <v>60.0722</v>
      </c>
      <c r="C2540" t="str">
        <f t="shared" si="62"/>
        <v>60</v>
      </c>
    </row>
    <row r="2541" spans="1:3" x14ac:dyDescent="0.25">
      <c r="A2541" t="s">
        <v>2363</v>
      </c>
      <c r="B2541" t="str">
        <f>"60.0723"</f>
        <v>60.0723</v>
      </c>
      <c r="C2541" t="str">
        <f t="shared" si="62"/>
        <v>60</v>
      </c>
    </row>
    <row r="2542" spans="1:3" x14ac:dyDescent="0.25">
      <c r="A2542" t="s">
        <v>2364</v>
      </c>
      <c r="B2542" t="str">
        <f>"60.0724"</f>
        <v>60.0724</v>
      </c>
      <c r="C2542" t="str">
        <f t="shared" si="62"/>
        <v>60</v>
      </c>
    </row>
    <row r="2543" spans="1:3" x14ac:dyDescent="0.25">
      <c r="A2543" t="s">
        <v>2365</v>
      </c>
      <c r="B2543" t="str">
        <f>"60.0725"</f>
        <v>60.0725</v>
      </c>
      <c r="C2543" t="str">
        <f t="shared" si="62"/>
        <v>60</v>
      </c>
    </row>
    <row r="2544" spans="1:3" x14ac:dyDescent="0.25">
      <c r="A2544" t="s">
        <v>2366</v>
      </c>
      <c r="B2544" t="str">
        <f>"60.0726"</f>
        <v>60.0726</v>
      </c>
      <c r="C2544" t="str">
        <f t="shared" si="62"/>
        <v>60</v>
      </c>
    </row>
    <row r="2545" spans="1:3" x14ac:dyDescent="0.25">
      <c r="A2545" t="s">
        <v>2367</v>
      </c>
      <c r="B2545" t="str">
        <f>"60.0727"</f>
        <v>60.0727</v>
      </c>
      <c r="C2545" t="str">
        <f t="shared" si="62"/>
        <v>60</v>
      </c>
    </row>
    <row r="2546" spans="1:3" x14ac:dyDescent="0.25">
      <c r="A2546" t="s">
        <v>2368</v>
      </c>
      <c r="B2546" t="str">
        <f>"60.0728"</f>
        <v>60.0728</v>
      </c>
      <c r="C2546" t="str">
        <f t="shared" si="62"/>
        <v>60</v>
      </c>
    </row>
    <row r="2547" spans="1:3" x14ac:dyDescent="0.25">
      <c r="A2547" t="s">
        <v>2369</v>
      </c>
      <c r="B2547" t="str">
        <f>"60.0729"</f>
        <v>60.0729</v>
      </c>
      <c r="C2547" t="str">
        <f t="shared" si="62"/>
        <v>60</v>
      </c>
    </row>
    <row r="2548" spans="1:3" x14ac:dyDescent="0.25">
      <c r="A2548" t="s">
        <v>2370</v>
      </c>
      <c r="B2548" t="str">
        <f>"60.0730"</f>
        <v>60.0730</v>
      </c>
      <c r="C2548" t="str">
        <f t="shared" si="62"/>
        <v>60</v>
      </c>
    </row>
    <row r="2549" spans="1:3" x14ac:dyDescent="0.25">
      <c r="A2549" t="s">
        <v>2371</v>
      </c>
      <c r="B2549" t="str">
        <f>"60.0731"</f>
        <v>60.0731</v>
      </c>
      <c r="C2549" t="str">
        <f t="shared" si="62"/>
        <v>60</v>
      </c>
    </row>
    <row r="2550" spans="1:3" x14ac:dyDescent="0.25">
      <c r="A2550" t="s">
        <v>2372</v>
      </c>
      <c r="B2550" t="str">
        <f>"60.0732"</f>
        <v>60.0732</v>
      </c>
      <c r="C2550" t="str">
        <f t="shared" si="62"/>
        <v>60</v>
      </c>
    </row>
    <row r="2551" spans="1:3" x14ac:dyDescent="0.25">
      <c r="A2551" t="s">
        <v>2373</v>
      </c>
      <c r="B2551" t="str">
        <f>"60.0733"</f>
        <v>60.0733</v>
      </c>
      <c r="C2551" t="str">
        <f t="shared" ref="C2551:C2614" si="63">"60"</f>
        <v>60</v>
      </c>
    </row>
    <row r="2552" spans="1:3" x14ac:dyDescent="0.25">
      <c r="A2552" t="s">
        <v>2374</v>
      </c>
      <c r="B2552" t="str">
        <f>"60.0734"</f>
        <v>60.0734</v>
      </c>
      <c r="C2552" t="str">
        <f t="shared" si="63"/>
        <v>60</v>
      </c>
    </row>
    <row r="2553" spans="1:3" x14ac:dyDescent="0.25">
      <c r="A2553" t="s">
        <v>2375</v>
      </c>
      <c r="B2553" t="str">
        <f>"60.0735"</f>
        <v>60.0735</v>
      </c>
      <c r="C2553" t="str">
        <f t="shared" si="63"/>
        <v>60</v>
      </c>
    </row>
    <row r="2554" spans="1:3" x14ac:dyDescent="0.25">
      <c r="A2554" t="s">
        <v>2376</v>
      </c>
      <c r="B2554" t="str">
        <f>"60.0736"</f>
        <v>60.0736</v>
      </c>
      <c r="C2554" t="str">
        <f t="shared" si="63"/>
        <v>60</v>
      </c>
    </row>
    <row r="2555" spans="1:3" x14ac:dyDescent="0.25">
      <c r="A2555" t="s">
        <v>2377</v>
      </c>
      <c r="B2555" t="str">
        <f>"60.0737"</f>
        <v>60.0737</v>
      </c>
      <c r="C2555" t="str">
        <f t="shared" si="63"/>
        <v>60</v>
      </c>
    </row>
    <row r="2556" spans="1:3" x14ac:dyDescent="0.25">
      <c r="A2556" t="s">
        <v>2378</v>
      </c>
      <c r="B2556" t="str">
        <f>"60.0738"</f>
        <v>60.0738</v>
      </c>
      <c r="C2556" t="str">
        <f t="shared" si="63"/>
        <v>60</v>
      </c>
    </row>
    <row r="2557" spans="1:3" x14ac:dyDescent="0.25">
      <c r="A2557" t="s">
        <v>2379</v>
      </c>
      <c r="B2557" t="str">
        <f>"60.0739"</f>
        <v>60.0739</v>
      </c>
      <c r="C2557" t="str">
        <f t="shared" si="63"/>
        <v>60</v>
      </c>
    </row>
    <row r="2558" spans="1:3" x14ac:dyDescent="0.25">
      <c r="A2558" t="s">
        <v>2380</v>
      </c>
      <c r="B2558" t="str">
        <f>"60.0740"</f>
        <v>60.0740</v>
      </c>
      <c r="C2558" t="str">
        <f t="shared" si="63"/>
        <v>60</v>
      </c>
    </row>
    <row r="2559" spans="1:3" x14ac:dyDescent="0.25">
      <c r="A2559" t="s">
        <v>2381</v>
      </c>
      <c r="B2559" t="str">
        <f>"60.0741"</f>
        <v>60.0741</v>
      </c>
      <c r="C2559" t="str">
        <f t="shared" si="63"/>
        <v>60</v>
      </c>
    </row>
    <row r="2560" spans="1:3" x14ac:dyDescent="0.25">
      <c r="A2560" t="s">
        <v>2382</v>
      </c>
      <c r="B2560" t="str">
        <f>"60.0742"</f>
        <v>60.0742</v>
      </c>
      <c r="C2560" t="str">
        <f t="shared" si="63"/>
        <v>60</v>
      </c>
    </row>
    <row r="2561" spans="1:3" x14ac:dyDescent="0.25">
      <c r="A2561" t="s">
        <v>2383</v>
      </c>
      <c r="B2561" t="str">
        <f>"60.0743"</f>
        <v>60.0743</v>
      </c>
      <c r="C2561" t="str">
        <f t="shared" si="63"/>
        <v>60</v>
      </c>
    </row>
    <row r="2562" spans="1:3" x14ac:dyDescent="0.25">
      <c r="A2562" t="s">
        <v>2384</v>
      </c>
      <c r="B2562" t="str">
        <f>"60.0744"</f>
        <v>60.0744</v>
      </c>
      <c r="C2562" t="str">
        <f t="shared" si="63"/>
        <v>60</v>
      </c>
    </row>
    <row r="2563" spans="1:3" x14ac:dyDescent="0.25">
      <c r="A2563" t="s">
        <v>2385</v>
      </c>
      <c r="B2563" t="str">
        <f>"60.0745"</f>
        <v>60.0745</v>
      </c>
      <c r="C2563" t="str">
        <f t="shared" si="63"/>
        <v>60</v>
      </c>
    </row>
    <row r="2564" spans="1:3" x14ac:dyDescent="0.25">
      <c r="A2564" t="s">
        <v>2386</v>
      </c>
      <c r="B2564" t="str">
        <f>"60.0746"</f>
        <v>60.0746</v>
      </c>
      <c r="C2564" t="str">
        <f t="shared" si="63"/>
        <v>60</v>
      </c>
    </row>
    <row r="2565" spans="1:3" x14ac:dyDescent="0.25">
      <c r="A2565" t="s">
        <v>2387</v>
      </c>
      <c r="B2565" t="str">
        <f>"60.0747"</f>
        <v>60.0747</v>
      </c>
      <c r="C2565" t="str">
        <f t="shared" si="63"/>
        <v>60</v>
      </c>
    </row>
    <row r="2566" spans="1:3" x14ac:dyDescent="0.25">
      <c r="A2566" t="s">
        <v>2388</v>
      </c>
      <c r="B2566" t="str">
        <f>"60.0748"</f>
        <v>60.0748</v>
      </c>
      <c r="C2566" t="str">
        <f t="shared" si="63"/>
        <v>60</v>
      </c>
    </row>
    <row r="2567" spans="1:3" x14ac:dyDescent="0.25">
      <c r="A2567" t="s">
        <v>2389</v>
      </c>
      <c r="B2567" t="str">
        <f>"60.0749"</f>
        <v>60.0749</v>
      </c>
      <c r="C2567" t="str">
        <f t="shared" si="63"/>
        <v>60</v>
      </c>
    </row>
    <row r="2568" spans="1:3" x14ac:dyDescent="0.25">
      <c r="A2568" t="s">
        <v>2390</v>
      </c>
      <c r="B2568" t="str">
        <f>"60.0750"</f>
        <v>60.0750</v>
      </c>
      <c r="C2568" t="str">
        <f t="shared" si="63"/>
        <v>60</v>
      </c>
    </row>
    <row r="2569" spans="1:3" x14ac:dyDescent="0.25">
      <c r="A2569" t="s">
        <v>2391</v>
      </c>
      <c r="B2569" t="str">
        <f>"60.0751"</f>
        <v>60.0751</v>
      </c>
      <c r="C2569" t="str">
        <f t="shared" si="63"/>
        <v>60</v>
      </c>
    </row>
    <row r="2570" spans="1:3" x14ac:dyDescent="0.25">
      <c r="A2570" t="s">
        <v>2392</v>
      </c>
      <c r="B2570" t="str">
        <f>"60.0799"</f>
        <v>60.0799</v>
      </c>
      <c r="C2570" t="str">
        <f t="shared" si="63"/>
        <v>60</v>
      </c>
    </row>
    <row r="2571" spans="1:3" x14ac:dyDescent="0.25">
      <c r="A2571" t="s">
        <v>2393</v>
      </c>
      <c r="B2571" t="str">
        <f>"60.08"</f>
        <v>60.08</v>
      </c>
      <c r="C2571" t="str">
        <f t="shared" si="63"/>
        <v>60</v>
      </c>
    </row>
    <row r="2572" spans="1:3" x14ac:dyDescent="0.25">
      <c r="A2572" t="s">
        <v>2394</v>
      </c>
      <c r="B2572" t="str">
        <f>"60.0801"</f>
        <v>60.0801</v>
      </c>
      <c r="C2572" t="str">
        <f t="shared" si="63"/>
        <v>60</v>
      </c>
    </row>
    <row r="2573" spans="1:3" x14ac:dyDescent="0.25">
      <c r="A2573" t="s">
        <v>2395</v>
      </c>
      <c r="B2573" t="str">
        <f>"60.0802"</f>
        <v>60.0802</v>
      </c>
      <c r="C2573" t="str">
        <f t="shared" si="63"/>
        <v>60</v>
      </c>
    </row>
    <row r="2574" spans="1:3" x14ac:dyDescent="0.25">
      <c r="A2574" t="s">
        <v>2396</v>
      </c>
      <c r="B2574" t="str">
        <f>"60.0803"</f>
        <v>60.0803</v>
      </c>
      <c r="C2574" t="str">
        <f t="shared" si="63"/>
        <v>60</v>
      </c>
    </row>
    <row r="2575" spans="1:3" x14ac:dyDescent="0.25">
      <c r="A2575" t="s">
        <v>2397</v>
      </c>
      <c r="B2575" t="str">
        <f>"60.0804"</f>
        <v>60.0804</v>
      </c>
      <c r="C2575" t="str">
        <f t="shared" si="63"/>
        <v>60</v>
      </c>
    </row>
    <row r="2576" spans="1:3" x14ac:dyDescent="0.25">
      <c r="A2576" t="s">
        <v>2398</v>
      </c>
      <c r="B2576" t="str">
        <f>"60.0805"</f>
        <v>60.0805</v>
      </c>
      <c r="C2576" t="str">
        <f t="shared" si="63"/>
        <v>60</v>
      </c>
    </row>
    <row r="2577" spans="1:3" x14ac:dyDescent="0.25">
      <c r="A2577" t="s">
        <v>2399</v>
      </c>
      <c r="B2577" t="str">
        <f>"60.0806"</f>
        <v>60.0806</v>
      </c>
      <c r="C2577" t="str">
        <f t="shared" si="63"/>
        <v>60</v>
      </c>
    </row>
    <row r="2578" spans="1:3" x14ac:dyDescent="0.25">
      <c r="A2578" t="s">
        <v>2400</v>
      </c>
      <c r="B2578" t="str">
        <f>"60.0807"</f>
        <v>60.0807</v>
      </c>
      <c r="C2578" t="str">
        <f t="shared" si="63"/>
        <v>60</v>
      </c>
    </row>
    <row r="2579" spans="1:3" x14ac:dyDescent="0.25">
      <c r="A2579" t="s">
        <v>2401</v>
      </c>
      <c r="B2579" t="str">
        <f>"60.0808"</f>
        <v>60.0808</v>
      </c>
      <c r="C2579" t="str">
        <f t="shared" si="63"/>
        <v>60</v>
      </c>
    </row>
    <row r="2580" spans="1:3" x14ac:dyDescent="0.25">
      <c r="A2580" t="s">
        <v>2402</v>
      </c>
      <c r="B2580" t="str">
        <f>"60.0809"</f>
        <v>60.0809</v>
      </c>
      <c r="C2580" t="str">
        <f t="shared" si="63"/>
        <v>60</v>
      </c>
    </row>
    <row r="2581" spans="1:3" x14ac:dyDescent="0.25">
      <c r="A2581" t="s">
        <v>2403</v>
      </c>
      <c r="B2581" t="str">
        <f>"60.0810"</f>
        <v>60.0810</v>
      </c>
      <c r="C2581" t="str">
        <f t="shared" si="63"/>
        <v>60</v>
      </c>
    </row>
    <row r="2582" spans="1:3" x14ac:dyDescent="0.25">
      <c r="A2582" t="s">
        <v>2404</v>
      </c>
      <c r="B2582" t="str">
        <f>"60.0811"</f>
        <v>60.0811</v>
      </c>
      <c r="C2582" t="str">
        <f t="shared" si="63"/>
        <v>60</v>
      </c>
    </row>
    <row r="2583" spans="1:3" x14ac:dyDescent="0.25">
      <c r="A2583" t="s">
        <v>2405</v>
      </c>
      <c r="B2583" t="str">
        <f>"60.0812"</f>
        <v>60.0812</v>
      </c>
      <c r="C2583" t="str">
        <f t="shared" si="63"/>
        <v>60</v>
      </c>
    </row>
    <row r="2584" spans="1:3" x14ac:dyDescent="0.25">
      <c r="A2584" t="s">
        <v>2406</v>
      </c>
      <c r="B2584" t="str">
        <f>"60.0813"</f>
        <v>60.0813</v>
      </c>
      <c r="C2584" t="str">
        <f t="shared" si="63"/>
        <v>60</v>
      </c>
    </row>
    <row r="2585" spans="1:3" x14ac:dyDescent="0.25">
      <c r="A2585" t="s">
        <v>2407</v>
      </c>
      <c r="B2585" t="str">
        <f>"60.0814"</f>
        <v>60.0814</v>
      </c>
      <c r="C2585" t="str">
        <f t="shared" si="63"/>
        <v>60</v>
      </c>
    </row>
    <row r="2586" spans="1:3" x14ac:dyDescent="0.25">
      <c r="A2586" t="s">
        <v>2408</v>
      </c>
      <c r="B2586" t="str">
        <f>"60.0815"</f>
        <v>60.0815</v>
      </c>
      <c r="C2586" t="str">
        <f t="shared" si="63"/>
        <v>60</v>
      </c>
    </row>
    <row r="2587" spans="1:3" x14ac:dyDescent="0.25">
      <c r="A2587" t="s">
        <v>2409</v>
      </c>
      <c r="B2587" t="str">
        <f>"60.0816"</f>
        <v>60.0816</v>
      </c>
      <c r="C2587" t="str">
        <f t="shared" si="63"/>
        <v>60</v>
      </c>
    </row>
    <row r="2588" spans="1:3" x14ac:dyDescent="0.25">
      <c r="A2588" t="s">
        <v>2410</v>
      </c>
      <c r="B2588" t="str">
        <f>"60.0817"</f>
        <v>60.0817</v>
      </c>
      <c r="C2588" t="str">
        <f t="shared" si="63"/>
        <v>60</v>
      </c>
    </row>
    <row r="2589" spans="1:3" x14ac:dyDescent="0.25">
      <c r="A2589" t="s">
        <v>2411</v>
      </c>
      <c r="B2589" t="str">
        <f>"60.0818"</f>
        <v>60.0818</v>
      </c>
      <c r="C2589" t="str">
        <f t="shared" si="63"/>
        <v>60</v>
      </c>
    </row>
    <row r="2590" spans="1:3" x14ac:dyDescent="0.25">
      <c r="A2590" t="s">
        <v>2412</v>
      </c>
      <c r="B2590" t="str">
        <f>"60.0819"</f>
        <v>60.0819</v>
      </c>
      <c r="C2590" t="str">
        <f t="shared" si="63"/>
        <v>60</v>
      </c>
    </row>
    <row r="2591" spans="1:3" x14ac:dyDescent="0.25">
      <c r="A2591" t="s">
        <v>2413</v>
      </c>
      <c r="B2591" t="str">
        <f>"60.0820"</f>
        <v>60.0820</v>
      </c>
      <c r="C2591" t="str">
        <f t="shared" si="63"/>
        <v>60</v>
      </c>
    </row>
    <row r="2592" spans="1:3" x14ac:dyDescent="0.25">
      <c r="A2592" t="s">
        <v>2414</v>
      </c>
      <c r="B2592" t="str">
        <f>"60.0821"</f>
        <v>60.0821</v>
      </c>
      <c r="C2592" t="str">
        <f t="shared" si="63"/>
        <v>60</v>
      </c>
    </row>
    <row r="2593" spans="1:3" x14ac:dyDescent="0.25">
      <c r="A2593" t="s">
        <v>2415</v>
      </c>
      <c r="B2593" t="str">
        <f>"60.0822"</f>
        <v>60.0822</v>
      </c>
      <c r="C2593" t="str">
        <f t="shared" si="63"/>
        <v>60</v>
      </c>
    </row>
    <row r="2594" spans="1:3" x14ac:dyDescent="0.25">
      <c r="A2594" t="s">
        <v>2416</v>
      </c>
      <c r="B2594" t="str">
        <f>"60.0823"</f>
        <v>60.0823</v>
      </c>
      <c r="C2594" t="str">
        <f t="shared" si="63"/>
        <v>60</v>
      </c>
    </row>
    <row r="2595" spans="1:3" x14ac:dyDescent="0.25">
      <c r="A2595" t="s">
        <v>2417</v>
      </c>
      <c r="B2595" t="str">
        <f>"60.0824"</f>
        <v>60.0824</v>
      </c>
      <c r="C2595" t="str">
        <f t="shared" si="63"/>
        <v>60</v>
      </c>
    </row>
    <row r="2596" spans="1:3" x14ac:dyDescent="0.25">
      <c r="A2596" t="s">
        <v>2418</v>
      </c>
      <c r="B2596" t="str">
        <f>"60.0825"</f>
        <v>60.0825</v>
      </c>
      <c r="C2596" t="str">
        <f t="shared" si="63"/>
        <v>60</v>
      </c>
    </row>
    <row r="2597" spans="1:3" x14ac:dyDescent="0.25">
      <c r="A2597" t="s">
        <v>2419</v>
      </c>
      <c r="B2597" t="str">
        <f>"60.0826"</f>
        <v>60.0826</v>
      </c>
      <c r="C2597" t="str">
        <f t="shared" si="63"/>
        <v>60</v>
      </c>
    </row>
    <row r="2598" spans="1:3" x14ac:dyDescent="0.25">
      <c r="A2598" t="s">
        <v>2420</v>
      </c>
      <c r="B2598" t="str">
        <f>"60.0827"</f>
        <v>60.0827</v>
      </c>
      <c r="C2598" t="str">
        <f t="shared" si="63"/>
        <v>60</v>
      </c>
    </row>
    <row r="2599" spans="1:3" x14ac:dyDescent="0.25">
      <c r="A2599" t="s">
        <v>2421</v>
      </c>
      <c r="B2599" t="str">
        <f>"60.0828"</f>
        <v>60.0828</v>
      </c>
      <c r="C2599" t="str">
        <f t="shared" si="63"/>
        <v>60</v>
      </c>
    </row>
    <row r="2600" spans="1:3" x14ac:dyDescent="0.25">
      <c r="A2600" t="s">
        <v>2422</v>
      </c>
      <c r="B2600" t="str">
        <f>"60.0829"</f>
        <v>60.0829</v>
      </c>
      <c r="C2600" t="str">
        <f t="shared" si="63"/>
        <v>60</v>
      </c>
    </row>
    <row r="2601" spans="1:3" x14ac:dyDescent="0.25">
      <c r="A2601" t="s">
        <v>2423</v>
      </c>
      <c r="B2601" t="str">
        <f>"60.0830"</f>
        <v>60.0830</v>
      </c>
      <c r="C2601" t="str">
        <f t="shared" si="63"/>
        <v>60</v>
      </c>
    </row>
    <row r="2602" spans="1:3" x14ac:dyDescent="0.25">
      <c r="A2602" t="s">
        <v>2424</v>
      </c>
      <c r="B2602" t="str">
        <f>"60.0831"</f>
        <v>60.0831</v>
      </c>
      <c r="C2602" t="str">
        <f t="shared" si="63"/>
        <v>60</v>
      </c>
    </row>
    <row r="2603" spans="1:3" x14ac:dyDescent="0.25">
      <c r="A2603" t="s">
        <v>2425</v>
      </c>
      <c r="B2603" t="str">
        <f>"60.0832"</f>
        <v>60.0832</v>
      </c>
      <c r="C2603" t="str">
        <f t="shared" si="63"/>
        <v>60</v>
      </c>
    </row>
    <row r="2604" spans="1:3" x14ac:dyDescent="0.25">
      <c r="A2604" t="s">
        <v>2426</v>
      </c>
      <c r="B2604" t="str">
        <f>"60.0899"</f>
        <v>60.0899</v>
      </c>
      <c r="C2604" t="str">
        <f t="shared" si="63"/>
        <v>60</v>
      </c>
    </row>
    <row r="2605" spans="1:3" x14ac:dyDescent="0.25">
      <c r="A2605" t="s">
        <v>2427</v>
      </c>
      <c r="B2605" t="str">
        <f>"60.09"</f>
        <v>60.09</v>
      </c>
      <c r="C2605" t="str">
        <f t="shared" si="63"/>
        <v>60</v>
      </c>
    </row>
    <row r="2606" spans="1:3" x14ac:dyDescent="0.25">
      <c r="A2606" t="s">
        <v>2428</v>
      </c>
      <c r="B2606" t="str">
        <f>"60.0901"</f>
        <v>60.0901</v>
      </c>
      <c r="C2606" t="str">
        <f t="shared" si="63"/>
        <v>60</v>
      </c>
    </row>
    <row r="2607" spans="1:3" x14ac:dyDescent="0.25">
      <c r="A2607" t="s">
        <v>2429</v>
      </c>
      <c r="B2607" t="str">
        <f>"60.0902"</f>
        <v>60.0902</v>
      </c>
      <c r="C2607" t="str">
        <f t="shared" si="63"/>
        <v>60</v>
      </c>
    </row>
    <row r="2608" spans="1:3" x14ac:dyDescent="0.25">
      <c r="A2608" t="s">
        <v>2430</v>
      </c>
      <c r="B2608" t="str">
        <f>"60.0903"</f>
        <v>60.0903</v>
      </c>
      <c r="C2608" t="str">
        <f t="shared" si="63"/>
        <v>60</v>
      </c>
    </row>
    <row r="2609" spans="1:3" x14ac:dyDescent="0.25">
      <c r="A2609" t="s">
        <v>2431</v>
      </c>
      <c r="B2609" t="str">
        <f>"60.0904"</f>
        <v>60.0904</v>
      </c>
      <c r="C2609" t="str">
        <f t="shared" si="63"/>
        <v>60</v>
      </c>
    </row>
    <row r="2610" spans="1:3" x14ac:dyDescent="0.25">
      <c r="A2610" t="s">
        <v>2432</v>
      </c>
      <c r="B2610" t="str">
        <f>"60.0905"</f>
        <v>60.0905</v>
      </c>
      <c r="C2610" t="str">
        <f t="shared" si="63"/>
        <v>60</v>
      </c>
    </row>
    <row r="2611" spans="1:3" x14ac:dyDescent="0.25">
      <c r="A2611" t="s">
        <v>2433</v>
      </c>
      <c r="B2611" t="str">
        <f>"60.0906"</f>
        <v>60.0906</v>
      </c>
      <c r="C2611" t="str">
        <f t="shared" si="63"/>
        <v>60</v>
      </c>
    </row>
    <row r="2612" spans="1:3" x14ac:dyDescent="0.25">
      <c r="A2612" t="s">
        <v>2434</v>
      </c>
      <c r="B2612" t="str">
        <f>"60.0907"</f>
        <v>60.0907</v>
      </c>
      <c r="C2612" t="str">
        <f t="shared" si="63"/>
        <v>60</v>
      </c>
    </row>
    <row r="2613" spans="1:3" x14ac:dyDescent="0.25">
      <c r="A2613" t="s">
        <v>2435</v>
      </c>
      <c r="B2613" t="str">
        <f>"60.0908"</f>
        <v>60.0908</v>
      </c>
      <c r="C2613" t="str">
        <f t="shared" si="63"/>
        <v>60</v>
      </c>
    </row>
    <row r="2614" spans="1:3" x14ac:dyDescent="0.25">
      <c r="A2614" t="s">
        <v>2436</v>
      </c>
      <c r="B2614" t="str">
        <f>"60.0909"</f>
        <v>60.0909</v>
      </c>
      <c r="C2614" t="str">
        <f t="shared" si="63"/>
        <v>60</v>
      </c>
    </row>
    <row r="2615" spans="1:3" x14ac:dyDescent="0.25">
      <c r="A2615" t="s">
        <v>2437</v>
      </c>
      <c r="B2615" t="str">
        <f>"60.0910"</f>
        <v>60.0910</v>
      </c>
      <c r="C2615" t="str">
        <f t="shared" ref="C2615:C2628" si="64">"60"</f>
        <v>60</v>
      </c>
    </row>
    <row r="2616" spans="1:3" x14ac:dyDescent="0.25">
      <c r="A2616" t="s">
        <v>2438</v>
      </c>
      <c r="B2616" t="str">
        <f>"60.0911"</f>
        <v>60.0911</v>
      </c>
      <c r="C2616" t="str">
        <f t="shared" si="64"/>
        <v>60</v>
      </c>
    </row>
    <row r="2617" spans="1:3" x14ac:dyDescent="0.25">
      <c r="A2617" t="s">
        <v>2439</v>
      </c>
      <c r="B2617" t="str">
        <f>"60.0912"</f>
        <v>60.0912</v>
      </c>
      <c r="C2617" t="str">
        <f t="shared" si="64"/>
        <v>60</v>
      </c>
    </row>
    <row r="2618" spans="1:3" x14ac:dyDescent="0.25">
      <c r="A2618" t="s">
        <v>2440</v>
      </c>
      <c r="B2618" t="str">
        <f>"60.0913"</f>
        <v>60.0913</v>
      </c>
      <c r="C2618" t="str">
        <f t="shared" si="64"/>
        <v>60</v>
      </c>
    </row>
    <row r="2619" spans="1:3" x14ac:dyDescent="0.25">
      <c r="A2619" t="s">
        <v>2441</v>
      </c>
      <c r="B2619" t="str">
        <f>"60.0914"</f>
        <v>60.0914</v>
      </c>
      <c r="C2619" t="str">
        <f t="shared" si="64"/>
        <v>60</v>
      </c>
    </row>
    <row r="2620" spans="1:3" x14ac:dyDescent="0.25">
      <c r="A2620" t="s">
        <v>2442</v>
      </c>
      <c r="B2620" t="str">
        <f>"60.0915"</f>
        <v>60.0915</v>
      </c>
      <c r="C2620" t="str">
        <f t="shared" si="64"/>
        <v>60</v>
      </c>
    </row>
    <row r="2621" spans="1:3" x14ac:dyDescent="0.25">
      <c r="A2621" t="s">
        <v>2443</v>
      </c>
      <c r="B2621" t="str">
        <f>"60.0916"</f>
        <v>60.0916</v>
      </c>
      <c r="C2621" t="str">
        <f t="shared" si="64"/>
        <v>60</v>
      </c>
    </row>
    <row r="2622" spans="1:3" x14ac:dyDescent="0.25">
      <c r="A2622" t="s">
        <v>2444</v>
      </c>
      <c r="B2622" t="str">
        <f>"60.0917"</f>
        <v>60.0917</v>
      </c>
      <c r="C2622" t="str">
        <f t="shared" si="64"/>
        <v>60</v>
      </c>
    </row>
    <row r="2623" spans="1:3" x14ac:dyDescent="0.25">
      <c r="A2623" t="s">
        <v>2445</v>
      </c>
      <c r="B2623" t="str">
        <f>"60.0918"</f>
        <v>60.0918</v>
      </c>
      <c r="C2623" t="str">
        <f t="shared" si="64"/>
        <v>60</v>
      </c>
    </row>
    <row r="2624" spans="1:3" x14ac:dyDescent="0.25">
      <c r="A2624" t="s">
        <v>2446</v>
      </c>
      <c r="B2624" t="str">
        <f>"60.0919"</f>
        <v>60.0919</v>
      </c>
      <c r="C2624" t="str">
        <f t="shared" si="64"/>
        <v>60</v>
      </c>
    </row>
    <row r="2625" spans="1:3" x14ac:dyDescent="0.25">
      <c r="A2625" t="s">
        <v>2447</v>
      </c>
      <c r="B2625" t="str">
        <f>"60.0920"</f>
        <v>60.0920</v>
      </c>
      <c r="C2625" t="str">
        <f t="shared" si="64"/>
        <v>60</v>
      </c>
    </row>
    <row r="2626" spans="1:3" x14ac:dyDescent="0.25">
      <c r="A2626" t="s">
        <v>2448</v>
      </c>
      <c r="B2626" t="str">
        <f>"60.0999"</f>
        <v>60.0999</v>
      </c>
      <c r="C2626" t="str">
        <f t="shared" si="64"/>
        <v>60</v>
      </c>
    </row>
    <row r="2627" spans="1:3" x14ac:dyDescent="0.25">
      <c r="A2627" t="s">
        <v>2449</v>
      </c>
      <c r="B2627" t="str">
        <f>"60.99"</f>
        <v>60.99</v>
      </c>
      <c r="C2627" t="str">
        <f t="shared" si="64"/>
        <v>60</v>
      </c>
    </row>
    <row r="2628" spans="1:3" x14ac:dyDescent="0.25">
      <c r="A2628" t="s">
        <v>2449</v>
      </c>
      <c r="B2628" t="str">
        <f>"60.9999"</f>
        <v>60.9999</v>
      </c>
      <c r="C2628" t="str">
        <f t="shared" si="64"/>
        <v>60</v>
      </c>
    </row>
    <row r="2629" spans="1:3" x14ac:dyDescent="0.25">
      <c r="A2629" t="s">
        <v>2450</v>
      </c>
      <c r="B2629" t="str">
        <f>"61"</f>
        <v>61</v>
      </c>
      <c r="C2629" t="str">
        <f>"61"</f>
        <v>61</v>
      </c>
    </row>
    <row r="2630" spans="1:3" x14ac:dyDescent="0.25">
      <c r="A2630" t="s">
        <v>2451</v>
      </c>
      <c r="B2630" t="str">
        <f>"61.01"</f>
        <v>61.01</v>
      </c>
      <c r="C2630" t="str">
        <f t="shared" ref="C2630:C2693" si="65">"61"</f>
        <v>61</v>
      </c>
    </row>
    <row r="2631" spans="1:3" x14ac:dyDescent="0.25">
      <c r="A2631" t="s">
        <v>2452</v>
      </c>
      <c r="B2631" t="str">
        <f>"61.0101"</f>
        <v>61.0101</v>
      </c>
      <c r="C2631" t="str">
        <f t="shared" si="65"/>
        <v>61</v>
      </c>
    </row>
    <row r="2632" spans="1:3" x14ac:dyDescent="0.25">
      <c r="A2632" t="s">
        <v>2453</v>
      </c>
      <c r="B2632" t="str">
        <f>"61.0102"</f>
        <v>61.0102</v>
      </c>
      <c r="C2632" t="str">
        <f t="shared" si="65"/>
        <v>61</v>
      </c>
    </row>
    <row r="2633" spans="1:3" x14ac:dyDescent="0.25">
      <c r="A2633" t="s">
        <v>2454</v>
      </c>
      <c r="B2633" t="str">
        <f>"61.0103"</f>
        <v>61.0103</v>
      </c>
      <c r="C2633" t="str">
        <f t="shared" si="65"/>
        <v>61</v>
      </c>
    </row>
    <row r="2634" spans="1:3" x14ac:dyDescent="0.25">
      <c r="A2634" t="s">
        <v>2455</v>
      </c>
      <c r="B2634" t="str">
        <f>"61.0104"</f>
        <v>61.0104</v>
      </c>
      <c r="C2634" t="str">
        <f t="shared" si="65"/>
        <v>61</v>
      </c>
    </row>
    <row r="2635" spans="1:3" x14ac:dyDescent="0.25">
      <c r="A2635" t="s">
        <v>2456</v>
      </c>
      <c r="B2635" t="str">
        <f>"61.0105"</f>
        <v>61.0105</v>
      </c>
      <c r="C2635" t="str">
        <f t="shared" si="65"/>
        <v>61</v>
      </c>
    </row>
    <row r="2636" spans="1:3" x14ac:dyDescent="0.25">
      <c r="A2636" t="s">
        <v>2457</v>
      </c>
      <c r="B2636" t="str">
        <f>"61.0106"</f>
        <v>61.0106</v>
      </c>
      <c r="C2636" t="str">
        <f t="shared" si="65"/>
        <v>61</v>
      </c>
    </row>
    <row r="2637" spans="1:3" x14ac:dyDescent="0.25">
      <c r="A2637" t="s">
        <v>2458</v>
      </c>
      <c r="B2637" t="str">
        <f>"61.0107"</f>
        <v>61.0107</v>
      </c>
      <c r="C2637" t="str">
        <f t="shared" si="65"/>
        <v>61</v>
      </c>
    </row>
    <row r="2638" spans="1:3" x14ac:dyDescent="0.25">
      <c r="A2638" t="s">
        <v>2459</v>
      </c>
      <c r="B2638" t="str">
        <f>"61.0108"</f>
        <v>61.0108</v>
      </c>
      <c r="C2638" t="str">
        <f t="shared" si="65"/>
        <v>61</v>
      </c>
    </row>
    <row r="2639" spans="1:3" x14ac:dyDescent="0.25">
      <c r="A2639" t="s">
        <v>2460</v>
      </c>
      <c r="B2639" t="str">
        <f>"61.0109"</f>
        <v>61.0109</v>
      </c>
      <c r="C2639" t="str">
        <f t="shared" si="65"/>
        <v>61</v>
      </c>
    </row>
    <row r="2640" spans="1:3" x14ac:dyDescent="0.25">
      <c r="A2640" t="s">
        <v>2461</v>
      </c>
      <c r="B2640" t="str">
        <f>"61.0110"</f>
        <v>61.0110</v>
      </c>
      <c r="C2640" t="str">
        <f t="shared" si="65"/>
        <v>61</v>
      </c>
    </row>
    <row r="2641" spans="1:3" x14ac:dyDescent="0.25">
      <c r="A2641" t="s">
        <v>2462</v>
      </c>
      <c r="B2641" t="str">
        <f>"61.0111"</f>
        <v>61.0111</v>
      </c>
      <c r="C2641" t="str">
        <f t="shared" si="65"/>
        <v>61</v>
      </c>
    </row>
    <row r="2642" spans="1:3" x14ac:dyDescent="0.25">
      <c r="A2642" t="s">
        <v>2463</v>
      </c>
      <c r="B2642" t="str">
        <f>"61.0112"</f>
        <v>61.0112</v>
      </c>
      <c r="C2642" t="str">
        <f t="shared" si="65"/>
        <v>61</v>
      </c>
    </row>
    <row r="2643" spans="1:3" x14ac:dyDescent="0.25">
      <c r="A2643" t="s">
        <v>2464</v>
      </c>
      <c r="B2643" t="str">
        <f>"61.0113"</f>
        <v>61.0113</v>
      </c>
      <c r="C2643" t="str">
        <f t="shared" si="65"/>
        <v>61</v>
      </c>
    </row>
    <row r="2644" spans="1:3" x14ac:dyDescent="0.25">
      <c r="A2644" t="s">
        <v>2465</v>
      </c>
      <c r="B2644" t="str">
        <f>"61.0114"</f>
        <v>61.0114</v>
      </c>
      <c r="C2644" t="str">
        <f t="shared" si="65"/>
        <v>61</v>
      </c>
    </row>
    <row r="2645" spans="1:3" x14ac:dyDescent="0.25">
      <c r="A2645" t="s">
        <v>2466</v>
      </c>
      <c r="B2645" t="str">
        <f>"61.0115"</f>
        <v>61.0115</v>
      </c>
      <c r="C2645" t="str">
        <f t="shared" si="65"/>
        <v>61</v>
      </c>
    </row>
    <row r="2646" spans="1:3" x14ac:dyDescent="0.25">
      <c r="A2646" t="s">
        <v>2467</v>
      </c>
      <c r="B2646" t="str">
        <f>"61.0116"</f>
        <v>61.0116</v>
      </c>
      <c r="C2646" t="str">
        <f t="shared" si="65"/>
        <v>61</v>
      </c>
    </row>
    <row r="2647" spans="1:3" x14ac:dyDescent="0.25">
      <c r="A2647" t="s">
        <v>2468</v>
      </c>
      <c r="B2647" t="str">
        <f>"61.0117"</f>
        <v>61.0117</v>
      </c>
      <c r="C2647" t="str">
        <f t="shared" si="65"/>
        <v>61</v>
      </c>
    </row>
    <row r="2648" spans="1:3" x14ac:dyDescent="0.25">
      <c r="A2648" t="s">
        <v>2469</v>
      </c>
      <c r="B2648" t="str">
        <f>"61.0118"</f>
        <v>61.0118</v>
      </c>
      <c r="C2648" t="str">
        <f t="shared" si="65"/>
        <v>61</v>
      </c>
    </row>
    <row r="2649" spans="1:3" x14ac:dyDescent="0.25">
      <c r="A2649" t="s">
        <v>2470</v>
      </c>
      <c r="B2649" t="str">
        <f>"61.0119"</f>
        <v>61.0119</v>
      </c>
      <c r="C2649" t="str">
        <f t="shared" si="65"/>
        <v>61</v>
      </c>
    </row>
    <row r="2650" spans="1:3" x14ac:dyDescent="0.25">
      <c r="A2650" t="s">
        <v>2471</v>
      </c>
      <c r="B2650" t="str">
        <f>"61.0120"</f>
        <v>61.0120</v>
      </c>
      <c r="C2650" t="str">
        <f t="shared" si="65"/>
        <v>61</v>
      </c>
    </row>
    <row r="2651" spans="1:3" x14ac:dyDescent="0.25">
      <c r="A2651" t="s">
        <v>2472</v>
      </c>
      <c r="B2651" t="str">
        <f>"61.0121"</f>
        <v>61.0121</v>
      </c>
      <c r="C2651" t="str">
        <f t="shared" si="65"/>
        <v>61</v>
      </c>
    </row>
    <row r="2652" spans="1:3" x14ac:dyDescent="0.25">
      <c r="A2652" t="s">
        <v>2473</v>
      </c>
      <c r="B2652" t="str">
        <f>"61.0122"</f>
        <v>61.0122</v>
      </c>
      <c r="C2652" t="str">
        <f t="shared" si="65"/>
        <v>61</v>
      </c>
    </row>
    <row r="2653" spans="1:3" x14ac:dyDescent="0.25">
      <c r="A2653" t="s">
        <v>2474</v>
      </c>
      <c r="B2653" t="str">
        <f>"61.0123"</f>
        <v>61.0123</v>
      </c>
      <c r="C2653" t="str">
        <f t="shared" si="65"/>
        <v>61</v>
      </c>
    </row>
    <row r="2654" spans="1:3" x14ac:dyDescent="0.25">
      <c r="A2654" t="s">
        <v>2475</v>
      </c>
      <c r="B2654" t="str">
        <f>"61.0124"</f>
        <v>61.0124</v>
      </c>
      <c r="C2654" t="str">
        <f t="shared" si="65"/>
        <v>61</v>
      </c>
    </row>
    <row r="2655" spans="1:3" x14ac:dyDescent="0.25">
      <c r="A2655" t="s">
        <v>2476</v>
      </c>
      <c r="B2655" t="str">
        <f>"61.0125"</f>
        <v>61.0125</v>
      </c>
      <c r="C2655" t="str">
        <f t="shared" si="65"/>
        <v>61</v>
      </c>
    </row>
    <row r="2656" spans="1:3" x14ac:dyDescent="0.25">
      <c r="A2656" t="s">
        <v>2477</v>
      </c>
      <c r="B2656" t="str">
        <f>"61.0199"</f>
        <v>61.0199</v>
      </c>
      <c r="C2656" t="str">
        <f t="shared" si="65"/>
        <v>61</v>
      </c>
    </row>
    <row r="2657" spans="1:3" x14ac:dyDescent="0.25">
      <c r="A2657" t="s">
        <v>2478</v>
      </c>
      <c r="B2657" t="str">
        <f>"61.02"</f>
        <v>61.02</v>
      </c>
      <c r="C2657" t="str">
        <f t="shared" si="65"/>
        <v>61</v>
      </c>
    </row>
    <row r="2658" spans="1:3" x14ac:dyDescent="0.25">
      <c r="A2658" t="s">
        <v>2479</v>
      </c>
      <c r="B2658" t="str">
        <f>"61.0202"</f>
        <v>61.0202</v>
      </c>
      <c r="C2658" t="str">
        <f t="shared" si="65"/>
        <v>61</v>
      </c>
    </row>
    <row r="2659" spans="1:3" x14ac:dyDescent="0.25">
      <c r="A2659" t="s">
        <v>2480</v>
      </c>
      <c r="B2659" t="str">
        <f>"61.0203"</f>
        <v>61.0203</v>
      </c>
      <c r="C2659" t="str">
        <f t="shared" si="65"/>
        <v>61</v>
      </c>
    </row>
    <row r="2660" spans="1:3" x14ac:dyDescent="0.25">
      <c r="A2660" t="s">
        <v>2481</v>
      </c>
      <c r="B2660" t="str">
        <f>"61.0204"</f>
        <v>61.0204</v>
      </c>
      <c r="C2660" t="str">
        <f t="shared" si="65"/>
        <v>61</v>
      </c>
    </row>
    <row r="2661" spans="1:3" x14ac:dyDescent="0.25">
      <c r="A2661" t="s">
        <v>2482</v>
      </c>
      <c r="B2661" t="str">
        <f>"61.0205"</f>
        <v>61.0205</v>
      </c>
      <c r="C2661" t="str">
        <f t="shared" si="65"/>
        <v>61</v>
      </c>
    </row>
    <row r="2662" spans="1:3" x14ac:dyDescent="0.25">
      <c r="A2662" t="s">
        <v>2483</v>
      </c>
      <c r="B2662" t="str">
        <f>"61.0206"</f>
        <v>61.0206</v>
      </c>
      <c r="C2662" t="str">
        <f t="shared" si="65"/>
        <v>61</v>
      </c>
    </row>
    <row r="2663" spans="1:3" x14ac:dyDescent="0.25">
      <c r="A2663" t="s">
        <v>2484</v>
      </c>
      <c r="B2663" t="str">
        <f>"61.0207"</f>
        <v>61.0207</v>
      </c>
      <c r="C2663" t="str">
        <f t="shared" si="65"/>
        <v>61</v>
      </c>
    </row>
    <row r="2664" spans="1:3" x14ac:dyDescent="0.25">
      <c r="A2664" t="s">
        <v>2485</v>
      </c>
      <c r="B2664" t="str">
        <f>"61.0208"</f>
        <v>61.0208</v>
      </c>
      <c r="C2664" t="str">
        <f t="shared" si="65"/>
        <v>61</v>
      </c>
    </row>
    <row r="2665" spans="1:3" x14ac:dyDescent="0.25">
      <c r="A2665" t="s">
        <v>2486</v>
      </c>
      <c r="B2665" t="str">
        <f>"61.0209"</f>
        <v>61.0209</v>
      </c>
      <c r="C2665" t="str">
        <f t="shared" si="65"/>
        <v>61</v>
      </c>
    </row>
    <row r="2666" spans="1:3" x14ac:dyDescent="0.25">
      <c r="A2666" t="s">
        <v>2487</v>
      </c>
      <c r="B2666" t="str">
        <f>"61.0210"</f>
        <v>61.0210</v>
      </c>
      <c r="C2666" t="str">
        <f t="shared" si="65"/>
        <v>61</v>
      </c>
    </row>
    <row r="2667" spans="1:3" x14ac:dyDescent="0.25">
      <c r="A2667" t="s">
        <v>2488</v>
      </c>
      <c r="B2667" t="str">
        <f>"61.0211"</f>
        <v>61.0211</v>
      </c>
      <c r="C2667" t="str">
        <f t="shared" si="65"/>
        <v>61</v>
      </c>
    </row>
    <row r="2668" spans="1:3" x14ac:dyDescent="0.25">
      <c r="A2668" t="s">
        <v>2489</v>
      </c>
      <c r="B2668" t="str">
        <f>"61.0212"</f>
        <v>61.0212</v>
      </c>
      <c r="C2668" t="str">
        <f t="shared" si="65"/>
        <v>61</v>
      </c>
    </row>
    <row r="2669" spans="1:3" x14ac:dyDescent="0.25">
      <c r="A2669" t="s">
        <v>2490</v>
      </c>
      <c r="B2669" t="str">
        <f>"61.0213"</f>
        <v>61.0213</v>
      </c>
      <c r="C2669" t="str">
        <f t="shared" si="65"/>
        <v>61</v>
      </c>
    </row>
    <row r="2670" spans="1:3" x14ac:dyDescent="0.25">
      <c r="A2670" t="s">
        <v>2491</v>
      </c>
      <c r="B2670" t="str">
        <f>"61.0214"</f>
        <v>61.0214</v>
      </c>
      <c r="C2670" t="str">
        <f t="shared" si="65"/>
        <v>61</v>
      </c>
    </row>
    <row r="2671" spans="1:3" x14ac:dyDescent="0.25">
      <c r="A2671" t="s">
        <v>2492</v>
      </c>
      <c r="B2671" t="str">
        <f>"61.0215"</f>
        <v>61.0215</v>
      </c>
      <c r="C2671" t="str">
        <f t="shared" si="65"/>
        <v>61</v>
      </c>
    </row>
    <row r="2672" spans="1:3" x14ac:dyDescent="0.25">
      <c r="A2672" t="s">
        <v>2493</v>
      </c>
      <c r="B2672" t="str">
        <f>"61.0216"</f>
        <v>61.0216</v>
      </c>
      <c r="C2672" t="str">
        <f t="shared" si="65"/>
        <v>61</v>
      </c>
    </row>
    <row r="2673" spans="1:3" x14ac:dyDescent="0.25">
      <c r="A2673" t="s">
        <v>2494</v>
      </c>
      <c r="B2673" t="str">
        <f>"61.0217"</f>
        <v>61.0217</v>
      </c>
      <c r="C2673" t="str">
        <f t="shared" si="65"/>
        <v>61</v>
      </c>
    </row>
    <row r="2674" spans="1:3" x14ac:dyDescent="0.25">
      <c r="A2674" t="s">
        <v>2495</v>
      </c>
      <c r="B2674" t="str">
        <f>"61.0218"</f>
        <v>61.0218</v>
      </c>
      <c r="C2674" t="str">
        <f t="shared" si="65"/>
        <v>61</v>
      </c>
    </row>
    <row r="2675" spans="1:3" x14ac:dyDescent="0.25">
      <c r="A2675" t="s">
        <v>2496</v>
      </c>
      <c r="B2675" t="str">
        <f>"61.0299"</f>
        <v>61.0299</v>
      </c>
      <c r="C2675" t="str">
        <f t="shared" si="65"/>
        <v>61</v>
      </c>
    </row>
    <row r="2676" spans="1:3" x14ac:dyDescent="0.25">
      <c r="A2676" t="s">
        <v>2497</v>
      </c>
      <c r="B2676" t="str">
        <f>"61.03"</f>
        <v>61.03</v>
      </c>
      <c r="C2676" t="str">
        <f t="shared" si="65"/>
        <v>61</v>
      </c>
    </row>
    <row r="2677" spans="1:3" x14ac:dyDescent="0.25">
      <c r="A2677" t="s">
        <v>2498</v>
      </c>
      <c r="B2677" t="str">
        <f>"61.0301"</f>
        <v>61.0301</v>
      </c>
      <c r="C2677" t="str">
        <f t="shared" si="65"/>
        <v>61</v>
      </c>
    </row>
    <row r="2678" spans="1:3" x14ac:dyDescent="0.25">
      <c r="A2678" t="s">
        <v>2499</v>
      </c>
      <c r="B2678" t="str">
        <f>"61.0399"</f>
        <v>61.0399</v>
      </c>
      <c r="C2678" t="str">
        <f t="shared" si="65"/>
        <v>61</v>
      </c>
    </row>
    <row r="2679" spans="1:3" x14ac:dyDescent="0.25">
      <c r="A2679" t="s">
        <v>2500</v>
      </c>
      <c r="B2679" t="str">
        <f>"61.04"</f>
        <v>61.04</v>
      </c>
      <c r="C2679" t="str">
        <f t="shared" si="65"/>
        <v>61</v>
      </c>
    </row>
    <row r="2680" spans="1:3" x14ac:dyDescent="0.25">
      <c r="A2680" t="s">
        <v>2218</v>
      </c>
      <c r="B2680" t="str">
        <f>"61.0401"</f>
        <v>61.0401</v>
      </c>
      <c r="C2680" t="str">
        <f t="shared" si="65"/>
        <v>61</v>
      </c>
    </row>
    <row r="2681" spans="1:3" x14ac:dyDescent="0.25">
      <c r="A2681" t="s">
        <v>2501</v>
      </c>
      <c r="B2681" t="str">
        <f>"61.0499"</f>
        <v>61.0499</v>
      </c>
      <c r="C2681" t="str">
        <f t="shared" si="65"/>
        <v>61</v>
      </c>
    </row>
    <row r="2682" spans="1:3" x14ac:dyDescent="0.25">
      <c r="A2682" t="s">
        <v>2502</v>
      </c>
      <c r="B2682" t="str">
        <f>"61.05"</f>
        <v>61.05</v>
      </c>
      <c r="C2682" t="str">
        <f t="shared" si="65"/>
        <v>61</v>
      </c>
    </row>
    <row r="2683" spans="1:3" x14ac:dyDescent="0.25">
      <c r="A2683" t="s">
        <v>2225</v>
      </c>
      <c r="B2683" t="str">
        <f>"61.0501"</f>
        <v>61.0501</v>
      </c>
      <c r="C2683" t="str">
        <f t="shared" si="65"/>
        <v>61</v>
      </c>
    </row>
    <row r="2684" spans="1:3" x14ac:dyDescent="0.25">
      <c r="A2684" t="s">
        <v>2503</v>
      </c>
      <c r="B2684" t="str">
        <f>"61.0502"</f>
        <v>61.0502</v>
      </c>
      <c r="C2684" t="str">
        <f t="shared" si="65"/>
        <v>61</v>
      </c>
    </row>
    <row r="2685" spans="1:3" x14ac:dyDescent="0.25">
      <c r="A2685" t="s">
        <v>2504</v>
      </c>
      <c r="B2685" t="str">
        <f>"61.0503"</f>
        <v>61.0503</v>
      </c>
      <c r="C2685" t="str">
        <f t="shared" si="65"/>
        <v>61</v>
      </c>
    </row>
    <row r="2686" spans="1:3" x14ac:dyDescent="0.25">
      <c r="A2686" t="s">
        <v>2505</v>
      </c>
      <c r="B2686" t="str">
        <f>"61.0599"</f>
        <v>61.0599</v>
      </c>
      <c r="C2686" t="str">
        <f t="shared" si="65"/>
        <v>61</v>
      </c>
    </row>
    <row r="2687" spans="1:3" x14ac:dyDescent="0.25">
      <c r="A2687" t="s">
        <v>2506</v>
      </c>
      <c r="B2687" t="str">
        <f>"61.06"</f>
        <v>61.06</v>
      </c>
      <c r="C2687" t="str">
        <f t="shared" si="65"/>
        <v>61</v>
      </c>
    </row>
    <row r="2688" spans="1:3" x14ac:dyDescent="0.25">
      <c r="A2688" t="s">
        <v>2227</v>
      </c>
      <c r="B2688" t="str">
        <f>"61.0601"</f>
        <v>61.0601</v>
      </c>
      <c r="C2688" t="str">
        <f t="shared" si="65"/>
        <v>61</v>
      </c>
    </row>
    <row r="2689" spans="1:3" x14ac:dyDescent="0.25">
      <c r="A2689" t="s">
        <v>2507</v>
      </c>
      <c r="B2689" t="str">
        <f>"61.0602"</f>
        <v>61.0602</v>
      </c>
      <c r="C2689" t="str">
        <f t="shared" si="65"/>
        <v>61</v>
      </c>
    </row>
    <row r="2690" spans="1:3" x14ac:dyDescent="0.25">
      <c r="A2690" t="s">
        <v>2508</v>
      </c>
      <c r="B2690" t="str">
        <f>"61.0603"</f>
        <v>61.0603</v>
      </c>
      <c r="C2690" t="str">
        <f t="shared" si="65"/>
        <v>61</v>
      </c>
    </row>
    <row r="2691" spans="1:3" x14ac:dyDescent="0.25">
      <c r="A2691" t="s">
        <v>2509</v>
      </c>
      <c r="B2691" t="str">
        <f>"61.0699"</f>
        <v>61.0699</v>
      </c>
      <c r="C2691" t="str">
        <f t="shared" si="65"/>
        <v>61</v>
      </c>
    </row>
    <row r="2692" spans="1:3" x14ac:dyDescent="0.25">
      <c r="A2692" t="s">
        <v>2510</v>
      </c>
      <c r="B2692" t="str">
        <f>"61.07"</f>
        <v>61.07</v>
      </c>
      <c r="C2692" t="str">
        <f t="shared" si="65"/>
        <v>61</v>
      </c>
    </row>
    <row r="2693" spans="1:3" x14ac:dyDescent="0.25">
      <c r="A2693" t="s">
        <v>2228</v>
      </c>
      <c r="B2693" t="str">
        <f>"61.0701"</f>
        <v>61.0701</v>
      </c>
      <c r="C2693" t="str">
        <f t="shared" si="65"/>
        <v>61</v>
      </c>
    </row>
    <row r="2694" spans="1:3" x14ac:dyDescent="0.25">
      <c r="A2694" t="s">
        <v>2511</v>
      </c>
      <c r="B2694" t="str">
        <f>"61.0799"</f>
        <v>61.0799</v>
      </c>
      <c r="C2694" t="str">
        <f t="shared" ref="C2694:C2757" si="66">"61"</f>
        <v>61</v>
      </c>
    </row>
    <row r="2695" spans="1:3" x14ac:dyDescent="0.25">
      <c r="A2695" t="s">
        <v>2512</v>
      </c>
      <c r="B2695" t="str">
        <f>"61.08"</f>
        <v>61.08</v>
      </c>
      <c r="C2695" t="str">
        <f t="shared" si="66"/>
        <v>61</v>
      </c>
    </row>
    <row r="2696" spans="1:3" x14ac:dyDescent="0.25">
      <c r="A2696" t="s">
        <v>2230</v>
      </c>
      <c r="B2696" t="str">
        <f>"61.0801"</f>
        <v>61.0801</v>
      </c>
      <c r="C2696" t="str">
        <f t="shared" si="66"/>
        <v>61</v>
      </c>
    </row>
    <row r="2697" spans="1:3" x14ac:dyDescent="0.25">
      <c r="A2697" t="s">
        <v>2513</v>
      </c>
      <c r="B2697" t="str">
        <f>"61.0804"</f>
        <v>61.0804</v>
      </c>
      <c r="C2697" t="str">
        <f t="shared" si="66"/>
        <v>61</v>
      </c>
    </row>
    <row r="2698" spans="1:3" x14ac:dyDescent="0.25">
      <c r="A2698" t="s">
        <v>2514</v>
      </c>
      <c r="B2698" t="str">
        <f>"61.0805"</f>
        <v>61.0805</v>
      </c>
      <c r="C2698" t="str">
        <f t="shared" si="66"/>
        <v>61</v>
      </c>
    </row>
    <row r="2699" spans="1:3" x14ac:dyDescent="0.25">
      <c r="A2699" t="s">
        <v>2515</v>
      </c>
      <c r="B2699" t="str">
        <f>"61.0806"</f>
        <v>61.0806</v>
      </c>
      <c r="C2699" t="str">
        <f t="shared" si="66"/>
        <v>61</v>
      </c>
    </row>
    <row r="2700" spans="1:3" x14ac:dyDescent="0.25">
      <c r="A2700" t="s">
        <v>2516</v>
      </c>
      <c r="B2700" t="str">
        <f>"61.0807"</f>
        <v>61.0807</v>
      </c>
      <c r="C2700" t="str">
        <f t="shared" si="66"/>
        <v>61</v>
      </c>
    </row>
    <row r="2701" spans="1:3" x14ac:dyDescent="0.25">
      <c r="A2701" t="s">
        <v>2517</v>
      </c>
      <c r="B2701" t="str">
        <f>"61.0808"</f>
        <v>61.0808</v>
      </c>
      <c r="C2701" t="str">
        <f t="shared" si="66"/>
        <v>61</v>
      </c>
    </row>
    <row r="2702" spans="1:3" x14ac:dyDescent="0.25">
      <c r="A2702" t="s">
        <v>2518</v>
      </c>
      <c r="B2702" t="str">
        <f>"61.0809"</f>
        <v>61.0809</v>
      </c>
      <c r="C2702" t="str">
        <f t="shared" si="66"/>
        <v>61</v>
      </c>
    </row>
    <row r="2703" spans="1:3" x14ac:dyDescent="0.25">
      <c r="A2703" t="s">
        <v>2519</v>
      </c>
      <c r="B2703" t="str">
        <f>"61.0810"</f>
        <v>61.0810</v>
      </c>
      <c r="C2703" t="str">
        <f t="shared" si="66"/>
        <v>61</v>
      </c>
    </row>
    <row r="2704" spans="1:3" x14ac:dyDescent="0.25">
      <c r="A2704" t="s">
        <v>2520</v>
      </c>
      <c r="B2704" t="str">
        <f>"61.0811"</f>
        <v>61.0811</v>
      </c>
      <c r="C2704" t="str">
        <f t="shared" si="66"/>
        <v>61</v>
      </c>
    </row>
    <row r="2705" spans="1:3" x14ac:dyDescent="0.25">
      <c r="A2705" t="s">
        <v>2521</v>
      </c>
      <c r="B2705" t="str">
        <f>"61.0812"</f>
        <v>61.0812</v>
      </c>
      <c r="C2705" t="str">
        <f t="shared" si="66"/>
        <v>61</v>
      </c>
    </row>
    <row r="2706" spans="1:3" x14ac:dyDescent="0.25">
      <c r="A2706" t="s">
        <v>2522</v>
      </c>
      <c r="B2706" t="str">
        <f>"61.0813"</f>
        <v>61.0813</v>
      </c>
      <c r="C2706" t="str">
        <f t="shared" si="66"/>
        <v>61</v>
      </c>
    </row>
    <row r="2707" spans="1:3" x14ac:dyDescent="0.25">
      <c r="A2707" t="s">
        <v>2523</v>
      </c>
      <c r="B2707" t="str">
        <f>"61.0814"</f>
        <v>61.0814</v>
      </c>
      <c r="C2707" t="str">
        <f t="shared" si="66"/>
        <v>61</v>
      </c>
    </row>
    <row r="2708" spans="1:3" x14ac:dyDescent="0.25">
      <c r="A2708" t="s">
        <v>2524</v>
      </c>
      <c r="B2708" t="str">
        <f>"61.0816"</f>
        <v>61.0816</v>
      </c>
      <c r="C2708" t="str">
        <f t="shared" si="66"/>
        <v>61</v>
      </c>
    </row>
    <row r="2709" spans="1:3" x14ac:dyDescent="0.25">
      <c r="A2709" t="s">
        <v>2525</v>
      </c>
      <c r="B2709" t="str">
        <f>"61.0818"</f>
        <v>61.0818</v>
      </c>
      <c r="C2709" t="str">
        <f t="shared" si="66"/>
        <v>61</v>
      </c>
    </row>
    <row r="2710" spans="1:3" x14ac:dyDescent="0.25">
      <c r="A2710" t="s">
        <v>2526</v>
      </c>
      <c r="B2710" t="str">
        <f>"61.0899"</f>
        <v>61.0899</v>
      </c>
      <c r="C2710" t="str">
        <f t="shared" si="66"/>
        <v>61</v>
      </c>
    </row>
    <row r="2711" spans="1:3" x14ac:dyDescent="0.25">
      <c r="A2711" t="s">
        <v>2527</v>
      </c>
      <c r="B2711" t="str">
        <f>"61.09"</f>
        <v>61.09</v>
      </c>
      <c r="C2711" t="str">
        <f t="shared" si="66"/>
        <v>61</v>
      </c>
    </row>
    <row r="2712" spans="1:3" x14ac:dyDescent="0.25">
      <c r="A2712" t="s">
        <v>2220</v>
      </c>
      <c r="B2712" t="str">
        <f>"61.0901"</f>
        <v>61.0901</v>
      </c>
      <c r="C2712" t="str">
        <f t="shared" si="66"/>
        <v>61</v>
      </c>
    </row>
    <row r="2713" spans="1:3" x14ac:dyDescent="0.25">
      <c r="A2713" t="s">
        <v>2528</v>
      </c>
      <c r="B2713" t="str">
        <f>"61.0902"</f>
        <v>61.0902</v>
      </c>
      <c r="C2713" t="str">
        <f t="shared" si="66"/>
        <v>61</v>
      </c>
    </row>
    <row r="2714" spans="1:3" x14ac:dyDescent="0.25">
      <c r="A2714" t="s">
        <v>2529</v>
      </c>
      <c r="B2714" t="str">
        <f>"61.0903"</f>
        <v>61.0903</v>
      </c>
      <c r="C2714" t="str">
        <f t="shared" si="66"/>
        <v>61</v>
      </c>
    </row>
    <row r="2715" spans="1:3" x14ac:dyDescent="0.25">
      <c r="A2715" t="s">
        <v>2282</v>
      </c>
      <c r="B2715" t="str">
        <f>"61.0904"</f>
        <v>61.0904</v>
      </c>
      <c r="C2715" t="str">
        <f t="shared" si="66"/>
        <v>61</v>
      </c>
    </row>
    <row r="2716" spans="1:3" x14ac:dyDescent="0.25">
      <c r="A2716" t="s">
        <v>2530</v>
      </c>
      <c r="B2716" t="str">
        <f>"61.0999"</f>
        <v>61.0999</v>
      </c>
      <c r="C2716" t="str">
        <f t="shared" si="66"/>
        <v>61</v>
      </c>
    </row>
    <row r="2717" spans="1:3" x14ac:dyDescent="0.25">
      <c r="A2717" t="s">
        <v>2531</v>
      </c>
      <c r="B2717" t="str">
        <f>"61.10"</f>
        <v>61.10</v>
      </c>
      <c r="C2717" t="str">
        <f t="shared" si="66"/>
        <v>61</v>
      </c>
    </row>
    <row r="2718" spans="1:3" x14ac:dyDescent="0.25">
      <c r="A2718" t="s">
        <v>2231</v>
      </c>
      <c r="B2718" t="str">
        <f>"61.1001"</f>
        <v>61.1001</v>
      </c>
      <c r="C2718" t="str">
        <f t="shared" si="66"/>
        <v>61</v>
      </c>
    </row>
    <row r="2719" spans="1:3" x14ac:dyDescent="0.25">
      <c r="A2719" t="s">
        <v>2532</v>
      </c>
      <c r="B2719" t="str">
        <f>"61.1099"</f>
        <v>61.1099</v>
      </c>
      <c r="C2719" t="str">
        <f t="shared" si="66"/>
        <v>61</v>
      </c>
    </row>
    <row r="2720" spans="1:3" x14ac:dyDescent="0.25">
      <c r="A2720" t="s">
        <v>2533</v>
      </c>
      <c r="B2720" t="str">
        <f>"61.11"</f>
        <v>61.11</v>
      </c>
      <c r="C2720" t="str">
        <f t="shared" si="66"/>
        <v>61</v>
      </c>
    </row>
    <row r="2721" spans="1:3" x14ac:dyDescent="0.25">
      <c r="A2721" t="s">
        <v>2232</v>
      </c>
      <c r="B2721" t="str">
        <f>"61.1101"</f>
        <v>61.1101</v>
      </c>
      <c r="C2721" t="str">
        <f t="shared" si="66"/>
        <v>61</v>
      </c>
    </row>
    <row r="2722" spans="1:3" x14ac:dyDescent="0.25">
      <c r="A2722" t="s">
        <v>2219</v>
      </c>
      <c r="B2722" t="str">
        <f>"61.1102"</f>
        <v>61.1102</v>
      </c>
      <c r="C2722" t="str">
        <f t="shared" si="66"/>
        <v>61</v>
      </c>
    </row>
    <row r="2723" spans="1:3" x14ac:dyDescent="0.25">
      <c r="A2723" t="s">
        <v>2534</v>
      </c>
      <c r="B2723" t="str">
        <f>"61.1103"</f>
        <v>61.1103</v>
      </c>
      <c r="C2723" t="str">
        <f t="shared" si="66"/>
        <v>61</v>
      </c>
    </row>
    <row r="2724" spans="1:3" x14ac:dyDescent="0.25">
      <c r="A2724" t="s">
        <v>2535</v>
      </c>
      <c r="B2724" t="str">
        <f>"61.1104"</f>
        <v>61.1104</v>
      </c>
      <c r="C2724" t="str">
        <f t="shared" si="66"/>
        <v>61</v>
      </c>
    </row>
    <row r="2725" spans="1:3" x14ac:dyDescent="0.25">
      <c r="A2725" t="s">
        <v>2536</v>
      </c>
      <c r="B2725" t="str">
        <f>"61.1105"</f>
        <v>61.1105</v>
      </c>
      <c r="C2725" t="str">
        <f t="shared" si="66"/>
        <v>61</v>
      </c>
    </row>
    <row r="2726" spans="1:3" x14ac:dyDescent="0.25">
      <c r="A2726" t="s">
        <v>2537</v>
      </c>
      <c r="B2726" t="str">
        <f>"61.1106"</f>
        <v>61.1106</v>
      </c>
      <c r="C2726" t="str">
        <f t="shared" si="66"/>
        <v>61</v>
      </c>
    </row>
    <row r="2727" spans="1:3" x14ac:dyDescent="0.25">
      <c r="A2727" t="s">
        <v>2538</v>
      </c>
      <c r="B2727" t="str">
        <f>"61.1107"</f>
        <v>61.1107</v>
      </c>
      <c r="C2727" t="str">
        <f t="shared" si="66"/>
        <v>61</v>
      </c>
    </row>
    <row r="2728" spans="1:3" x14ac:dyDescent="0.25">
      <c r="A2728" t="s">
        <v>2539</v>
      </c>
      <c r="B2728" t="str">
        <f>"61.1199"</f>
        <v>61.1199</v>
      </c>
      <c r="C2728" t="str">
        <f t="shared" si="66"/>
        <v>61</v>
      </c>
    </row>
    <row r="2729" spans="1:3" x14ac:dyDescent="0.25">
      <c r="A2729" t="s">
        <v>2540</v>
      </c>
      <c r="B2729" t="str">
        <f>"61.12"</f>
        <v>61.12</v>
      </c>
      <c r="C2729" t="str">
        <f t="shared" si="66"/>
        <v>61</v>
      </c>
    </row>
    <row r="2730" spans="1:3" x14ac:dyDescent="0.25">
      <c r="A2730" t="s">
        <v>2233</v>
      </c>
      <c r="B2730" t="str">
        <f>"61.1201"</f>
        <v>61.1201</v>
      </c>
      <c r="C2730" t="str">
        <f t="shared" si="66"/>
        <v>61</v>
      </c>
    </row>
    <row r="2731" spans="1:3" x14ac:dyDescent="0.25">
      <c r="A2731" t="s">
        <v>2541</v>
      </c>
      <c r="B2731" t="str">
        <f>"61.1299"</f>
        <v>61.1299</v>
      </c>
      <c r="C2731" t="str">
        <f t="shared" si="66"/>
        <v>61</v>
      </c>
    </row>
    <row r="2732" spans="1:3" x14ac:dyDescent="0.25">
      <c r="A2732" t="s">
        <v>2542</v>
      </c>
      <c r="B2732" t="str">
        <f>"61.13"</f>
        <v>61.13</v>
      </c>
      <c r="C2732" t="str">
        <f t="shared" si="66"/>
        <v>61</v>
      </c>
    </row>
    <row r="2733" spans="1:3" x14ac:dyDescent="0.25">
      <c r="A2733" t="s">
        <v>2234</v>
      </c>
      <c r="B2733" t="str">
        <f>"61.1301"</f>
        <v>61.1301</v>
      </c>
      <c r="C2733" t="str">
        <f t="shared" si="66"/>
        <v>61</v>
      </c>
    </row>
    <row r="2734" spans="1:3" x14ac:dyDescent="0.25">
      <c r="A2734" t="s">
        <v>2543</v>
      </c>
      <c r="B2734" t="str">
        <f>"61.1302"</f>
        <v>61.1302</v>
      </c>
      <c r="C2734" t="str">
        <f t="shared" si="66"/>
        <v>61</v>
      </c>
    </row>
    <row r="2735" spans="1:3" x14ac:dyDescent="0.25">
      <c r="A2735" t="s">
        <v>2544</v>
      </c>
      <c r="B2735" t="str">
        <f>"61.1303"</f>
        <v>61.1303</v>
      </c>
      <c r="C2735" t="str">
        <f t="shared" si="66"/>
        <v>61</v>
      </c>
    </row>
    <row r="2736" spans="1:3" x14ac:dyDescent="0.25">
      <c r="A2736" t="s">
        <v>2545</v>
      </c>
      <c r="B2736" t="str">
        <f>"61.1304"</f>
        <v>61.1304</v>
      </c>
      <c r="C2736" t="str">
        <f t="shared" si="66"/>
        <v>61</v>
      </c>
    </row>
    <row r="2737" spans="1:3" x14ac:dyDescent="0.25">
      <c r="A2737" t="s">
        <v>2546</v>
      </c>
      <c r="B2737" t="str">
        <f>"61.1399"</f>
        <v>61.1399</v>
      </c>
      <c r="C2737" t="str">
        <f t="shared" si="66"/>
        <v>61</v>
      </c>
    </row>
    <row r="2738" spans="1:3" x14ac:dyDescent="0.25">
      <c r="A2738" t="s">
        <v>2547</v>
      </c>
      <c r="B2738" t="str">
        <f>"61.14"</f>
        <v>61.14</v>
      </c>
      <c r="C2738" t="str">
        <f t="shared" si="66"/>
        <v>61</v>
      </c>
    </row>
    <row r="2739" spans="1:3" x14ac:dyDescent="0.25">
      <c r="A2739" t="s">
        <v>2236</v>
      </c>
      <c r="B2739" t="str">
        <f>"61.1401"</f>
        <v>61.1401</v>
      </c>
      <c r="C2739" t="str">
        <f t="shared" si="66"/>
        <v>61</v>
      </c>
    </row>
    <row r="2740" spans="1:3" x14ac:dyDescent="0.25">
      <c r="A2740" t="s">
        <v>2548</v>
      </c>
      <c r="B2740" t="str">
        <f>"61.1499"</f>
        <v>61.1499</v>
      </c>
      <c r="C2740" t="str">
        <f t="shared" si="66"/>
        <v>61</v>
      </c>
    </row>
    <row r="2741" spans="1:3" x14ac:dyDescent="0.25">
      <c r="A2741" t="s">
        <v>2549</v>
      </c>
      <c r="B2741" t="str">
        <f>"61.15"</f>
        <v>61.15</v>
      </c>
      <c r="C2741" t="str">
        <f t="shared" si="66"/>
        <v>61</v>
      </c>
    </row>
    <row r="2742" spans="1:3" x14ac:dyDescent="0.25">
      <c r="A2742" t="s">
        <v>2237</v>
      </c>
      <c r="B2742" t="str">
        <f>"61.1501"</f>
        <v>61.1501</v>
      </c>
      <c r="C2742" t="str">
        <f t="shared" si="66"/>
        <v>61</v>
      </c>
    </row>
    <row r="2743" spans="1:3" x14ac:dyDescent="0.25">
      <c r="A2743" t="s">
        <v>2550</v>
      </c>
      <c r="B2743" t="str">
        <f>"61.1502"</f>
        <v>61.1502</v>
      </c>
      <c r="C2743" t="str">
        <f t="shared" si="66"/>
        <v>61</v>
      </c>
    </row>
    <row r="2744" spans="1:3" x14ac:dyDescent="0.25">
      <c r="A2744" t="s">
        <v>2551</v>
      </c>
      <c r="B2744" t="str">
        <f>"61.1503"</f>
        <v>61.1503</v>
      </c>
      <c r="C2744" t="str">
        <f t="shared" si="66"/>
        <v>61</v>
      </c>
    </row>
    <row r="2745" spans="1:3" x14ac:dyDescent="0.25">
      <c r="A2745" t="s">
        <v>2552</v>
      </c>
      <c r="B2745" t="str">
        <f>"61.1504"</f>
        <v>61.1504</v>
      </c>
      <c r="C2745" t="str">
        <f t="shared" si="66"/>
        <v>61</v>
      </c>
    </row>
    <row r="2746" spans="1:3" x14ac:dyDescent="0.25">
      <c r="A2746" t="s">
        <v>2553</v>
      </c>
      <c r="B2746" t="str">
        <f>"61.1505"</f>
        <v>61.1505</v>
      </c>
      <c r="C2746" t="str">
        <f t="shared" si="66"/>
        <v>61</v>
      </c>
    </row>
    <row r="2747" spans="1:3" x14ac:dyDescent="0.25">
      <c r="A2747" t="s">
        <v>2554</v>
      </c>
      <c r="B2747" t="str">
        <f>"61.1599"</f>
        <v>61.1599</v>
      </c>
      <c r="C2747" t="str">
        <f t="shared" si="66"/>
        <v>61</v>
      </c>
    </row>
    <row r="2748" spans="1:3" x14ac:dyDescent="0.25">
      <c r="A2748" t="s">
        <v>2555</v>
      </c>
      <c r="B2748" t="str">
        <f>"61.16"</f>
        <v>61.16</v>
      </c>
      <c r="C2748" t="str">
        <f t="shared" si="66"/>
        <v>61</v>
      </c>
    </row>
    <row r="2749" spans="1:3" x14ac:dyDescent="0.25">
      <c r="A2749" t="s">
        <v>2556</v>
      </c>
      <c r="B2749" t="str">
        <f>"61.1601"</f>
        <v>61.1601</v>
      </c>
      <c r="C2749" t="str">
        <f t="shared" si="66"/>
        <v>61</v>
      </c>
    </row>
    <row r="2750" spans="1:3" x14ac:dyDescent="0.25">
      <c r="A2750" t="s">
        <v>2557</v>
      </c>
      <c r="B2750" t="str">
        <f>"61.1699"</f>
        <v>61.1699</v>
      </c>
      <c r="C2750" t="str">
        <f t="shared" si="66"/>
        <v>61</v>
      </c>
    </row>
    <row r="2751" spans="1:3" x14ac:dyDescent="0.25">
      <c r="A2751" t="s">
        <v>2558</v>
      </c>
      <c r="B2751" t="str">
        <f>"61.17"</f>
        <v>61.17</v>
      </c>
      <c r="C2751" t="str">
        <f t="shared" si="66"/>
        <v>61</v>
      </c>
    </row>
    <row r="2752" spans="1:3" x14ac:dyDescent="0.25">
      <c r="A2752" t="s">
        <v>2238</v>
      </c>
      <c r="B2752" t="str">
        <f>"61.1701"</f>
        <v>61.1701</v>
      </c>
      <c r="C2752" t="str">
        <f t="shared" si="66"/>
        <v>61</v>
      </c>
    </row>
    <row r="2753" spans="1:3" x14ac:dyDescent="0.25">
      <c r="A2753" t="s">
        <v>2559</v>
      </c>
      <c r="B2753" t="str">
        <f>"61.1702"</f>
        <v>61.1702</v>
      </c>
      <c r="C2753" t="str">
        <f t="shared" si="66"/>
        <v>61</v>
      </c>
    </row>
    <row r="2754" spans="1:3" x14ac:dyDescent="0.25">
      <c r="A2754" t="s">
        <v>2560</v>
      </c>
      <c r="B2754" t="str">
        <f>"61.1703"</f>
        <v>61.1703</v>
      </c>
      <c r="C2754" t="str">
        <f t="shared" si="66"/>
        <v>61</v>
      </c>
    </row>
    <row r="2755" spans="1:3" x14ac:dyDescent="0.25">
      <c r="A2755" t="s">
        <v>2561</v>
      </c>
      <c r="B2755" t="str">
        <f>"61.1799"</f>
        <v>61.1799</v>
      </c>
      <c r="C2755" t="str">
        <f t="shared" si="66"/>
        <v>61</v>
      </c>
    </row>
    <row r="2756" spans="1:3" x14ac:dyDescent="0.25">
      <c r="A2756" t="s">
        <v>2562</v>
      </c>
      <c r="B2756" t="str">
        <f>"61.18"</f>
        <v>61.18</v>
      </c>
      <c r="C2756" t="str">
        <f t="shared" si="66"/>
        <v>61</v>
      </c>
    </row>
    <row r="2757" spans="1:3" x14ac:dyDescent="0.25">
      <c r="A2757" t="s">
        <v>2563</v>
      </c>
      <c r="B2757" t="str">
        <f>"61.1801"</f>
        <v>61.1801</v>
      </c>
      <c r="C2757" t="str">
        <f t="shared" si="66"/>
        <v>61</v>
      </c>
    </row>
    <row r="2758" spans="1:3" x14ac:dyDescent="0.25">
      <c r="A2758" t="s">
        <v>2564</v>
      </c>
      <c r="B2758" t="str">
        <f>"61.1802"</f>
        <v>61.1802</v>
      </c>
      <c r="C2758" t="str">
        <f t="shared" ref="C2758:C2821" si="67">"61"</f>
        <v>61</v>
      </c>
    </row>
    <row r="2759" spans="1:3" x14ac:dyDescent="0.25">
      <c r="A2759" t="s">
        <v>2565</v>
      </c>
      <c r="B2759" t="str">
        <f>"61.1803"</f>
        <v>61.1803</v>
      </c>
      <c r="C2759" t="str">
        <f t="shared" si="67"/>
        <v>61</v>
      </c>
    </row>
    <row r="2760" spans="1:3" x14ac:dyDescent="0.25">
      <c r="A2760" t="s">
        <v>2566</v>
      </c>
      <c r="B2760" t="str">
        <f>"61.1804"</f>
        <v>61.1804</v>
      </c>
      <c r="C2760" t="str">
        <f t="shared" si="67"/>
        <v>61</v>
      </c>
    </row>
    <row r="2761" spans="1:3" x14ac:dyDescent="0.25">
      <c r="A2761" t="s">
        <v>2567</v>
      </c>
      <c r="B2761" t="str">
        <f>"61.1805"</f>
        <v>61.1805</v>
      </c>
      <c r="C2761" t="str">
        <f t="shared" si="67"/>
        <v>61</v>
      </c>
    </row>
    <row r="2762" spans="1:3" x14ac:dyDescent="0.25">
      <c r="A2762" t="s">
        <v>2568</v>
      </c>
      <c r="B2762" t="str">
        <f>"61.1806"</f>
        <v>61.1806</v>
      </c>
      <c r="C2762" t="str">
        <f t="shared" si="67"/>
        <v>61</v>
      </c>
    </row>
    <row r="2763" spans="1:3" x14ac:dyDescent="0.25">
      <c r="A2763" t="s">
        <v>2569</v>
      </c>
      <c r="B2763" t="str">
        <f>"61.1807"</f>
        <v>61.1807</v>
      </c>
      <c r="C2763" t="str">
        <f t="shared" si="67"/>
        <v>61</v>
      </c>
    </row>
    <row r="2764" spans="1:3" x14ac:dyDescent="0.25">
      <c r="A2764" t="s">
        <v>2570</v>
      </c>
      <c r="B2764" t="str">
        <f>"61.1808"</f>
        <v>61.1808</v>
      </c>
      <c r="C2764" t="str">
        <f t="shared" si="67"/>
        <v>61</v>
      </c>
    </row>
    <row r="2765" spans="1:3" x14ac:dyDescent="0.25">
      <c r="A2765" t="s">
        <v>2571</v>
      </c>
      <c r="B2765" t="str">
        <f>"61.1809"</f>
        <v>61.1809</v>
      </c>
      <c r="C2765" t="str">
        <f t="shared" si="67"/>
        <v>61</v>
      </c>
    </row>
    <row r="2766" spans="1:3" x14ac:dyDescent="0.25">
      <c r="A2766" t="s">
        <v>2572</v>
      </c>
      <c r="B2766" t="str">
        <f>"61.1810"</f>
        <v>61.1810</v>
      </c>
      <c r="C2766" t="str">
        <f t="shared" si="67"/>
        <v>61</v>
      </c>
    </row>
    <row r="2767" spans="1:3" x14ac:dyDescent="0.25">
      <c r="A2767" t="s">
        <v>2573</v>
      </c>
      <c r="B2767" t="str">
        <f>"61.1811"</f>
        <v>61.1811</v>
      </c>
      <c r="C2767" t="str">
        <f t="shared" si="67"/>
        <v>61</v>
      </c>
    </row>
    <row r="2768" spans="1:3" x14ac:dyDescent="0.25">
      <c r="A2768" t="s">
        <v>2574</v>
      </c>
      <c r="B2768" t="str">
        <f>"61.1812"</f>
        <v>61.1812</v>
      </c>
      <c r="C2768" t="str">
        <f t="shared" si="67"/>
        <v>61</v>
      </c>
    </row>
    <row r="2769" spans="1:3" x14ac:dyDescent="0.25">
      <c r="A2769" t="s">
        <v>2575</v>
      </c>
      <c r="B2769" t="str">
        <f>"61.1813"</f>
        <v>61.1813</v>
      </c>
      <c r="C2769" t="str">
        <f t="shared" si="67"/>
        <v>61</v>
      </c>
    </row>
    <row r="2770" spans="1:3" x14ac:dyDescent="0.25">
      <c r="A2770" t="s">
        <v>2576</v>
      </c>
      <c r="B2770" t="str">
        <f>"61.1814"</f>
        <v>61.1814</v>
      </c>
      <c r="C2770" t="str">
        <f t="shared" si="67"/>
        <v>61</v>
      </c>
    </row>
    <row r="2771" spans="1:3" x14ac:dyDescent="0.25">
      <c r="A2771" t="s">
        <v>2577</v>
      </c>
      <c r="B2771" t="str">
        <f>"61.1815"</f>
        <v>61.1815</v>
      </c>
      <c r="C2771" t="str">
        <f t="shared" si="67"/>
        <v>61</v>
      </c>
    </row>
    <row r="2772" spans="1:3" x14ac:dyDescent="0.25">
      <c r="A2772" t="s">
        <v>2578</v>
      </c>
      <c r="B2772" t="str">
        <f>"61.1899"</f>
        <v>61.1899</v>
      </c>
      <c r="C2772" t="str">
        <f t="shared" si="67"/>
        <v>61</v>
      </c>
    </row>
    <row r="2773" spans="1:3" x14ac:dyDescent="0.25">
      <c r="A2773" t="s">
        <v>2579</v>
      </c>
      <c r="B2773" t="str">
        <f>"61.19"</f>
        <v>61.19</v>
      </c>
      <c r="C2773" t="str">
        <f t="shared" si="67"/>
        <v>61</v>
      </c>
    </row>
    <row r="2774" spans="1:3" x14ac:dyDescent="0.25">
      <c r="A2774" t="s">
        <v>2240</v>
      </c>
      <c r="B2774" t="str">
        <f>"61.1901"</f>
        <v>61.1901</v>
      </c>
      <c r="C2774" t="str">
        <f t="shared" si="67"/>
        <v>61</v>
      </c>
    </row>
    <row r="2775" spans="1:3" x14ac:dyDescent="0.25">
      <c r="A2775" t="s">
        <v>2580</v>
      </c>
      <c r="B2775" t="str">
        <f>"61.1902"</f>
        <v>61.1902</v>
      </c>
      <c r="C2775" t="str">
        <f t="shared" si="67"/>
        <v>61</v>
      </c>
    </row>
    <row r="2776" spans="1:3" x14ac:dyDescent="0.25">
      <c r="A2776" t="s">
        <v>2581</v>
      </c>
      <c r="B2776" t="str">
        <f>"61.1903"</f>
        <v>61.1903</v>
      </c>
      <c r="C2776" t="str">
        <f t="shared" si="67"/>
        <v>61</v>
      </c>
    </row>
    <row r="2777" spans="1:3" x14ac:dyDescent="0.25">
      <c r="A2777" t="s">
        <v>2582</v>
      </c>
      <c r="B2777" t="str">
        <f>"61.1904"</f>
        <v>61.1904</v>
      </c>
      <c r="C2777" t="str">
        <f t="shared" si="67"/>
        <v>61</v>
      </c>
    </row>
    <row r="2778" spans="1:3" x14ac:dyDescent="0.25">
      <c r="A2778" t="s">
        <v>2583</v>
      </c>
      <c r="B2778" t="str">
        <f>"61.1905"</f>
        <v>61.1905</v>
      </c>
      <c r="C2778" t="str">
        <f t="shared" si="67"/>
        <v>61</v>
      </c>
    </row>
    <row r="2779" spans="1:3" x14ac:dyDescent="0.25">
      <c r="A2779" t="s">
        <v>2584</v>
      </c>
      <c r="B2779" t="str">
        <f>"61.1906"</f>
        <v>61.1906</v>
      </c>
      <c r="C2779" t="str">
        <f t="shared" si="67"/>
        <v>61</v>
      </c>
    </row>
    <row r="2780" spans="1:3" x14ac:dyDescent="0.25">
      <c r="A2780" t="s">
        <v>2585</v>
      </c>
      <c r="B2780" t="str">
        <f>"61.1907"</f>
        <v>61.1907</v>
      </c>
      <c r="C2780" t="str">
        <f t="shared" si="67"/>
        <v>61</v>
      </c>
    </row>
    <row r="2781" spans="1:3" x14ac:dyDescent="0.25">
      <c r="A2781" t="s">
        <v>2586</v>
      </c>
      <c r="B2781" t="str">
        <f>"61.1908"</f>
        <v>61.1908</v>
      </c>
      <c r="C2781" t="str">
        <f t="shared" si="67"/>
        <v>61</v>
      </c>
    </row>
    <row r="2782" spans="1:3" x14ac:dyDescent="0.25">
      <c r="A2782" t="s">
        <v>2587</v>
      </c>
      <c r="B2782" t="str">
        <f>"61.1909"</f>
        <v>61.1909</v>
      </c>
      <c r="C2782" t="str">
        <f t="shared" si="67"/>
        <v>61</v>
      </c>
    </row>
    <row r="2783" spans="1:3" x14ac:dyDescent="0.25">
      <c r="A2783" t="s">
        <v>2588</v>
      </c>
      <c r="B2783" t="str">
        <f>"61.1910"</f>
        <v>61.1910</v>
      </c>
      <c r="C2783" t="str">
        <f t="shared" si="67"/>
        <v>61</v>
      </c>
    </row>
    <row r="2784" spans="1:3" x14ac:dyDescent="0.25">
      <c r="A2784" t="s">
        <v>2589</v>
      </c>
      <c r="B2784" t="str">
        <f>"61.1911"</f>
        <v>61.1911</v>
      </c>
      <c r="C2784" t="str">
        <f t="shared" si="67"/>
        <v>61</v>
      </c>
    </row>
    <row r="2785" spans="1:3" x14ac:dyDescent="0.25">
      <c r="A2785" t="s">
        <v>2590</v>
      </c>
      <c r="B2785" t="str">
        <f>"61.1912"</f>
        <v>61.1912</v>
      </c>
      <c r="C2785" t="str">
        <f t="shared" si="67"/>
        <v>61</v>
      </c>
    </row>
    <row r="2786" spans="1:3" x14ac:dyDescent="0.25">
      <c r="A2786" t="s">
        <v>2591</v>
      </c>
      <c r="B2786" t="str">
        <f>"61.1913"</f>
        <v>61.1913</v>
      </c>
      <c r="C2786" t="str">
        <f t="shared" si="67"/>
        <v>61</v>
      </c>
    </row>
    <row r="2787" spans="1:3" x14ac:dyDescent="0.25">
      <c r="A2787" t="s">
        <v>2592</v>
      </c>
      <c r="B2787" t="str">
        <f>"61.1914"</f>
        <v>61.1914</v>
      </c>
      <c r="C2787" t="str">
        <f t="shared" si="67"/>
        <v>61</v>
      </c>
    </row>
    <row r="2788" spans="1:3" x14ac:dyDescent="0.25">
      <c r="A2788" t="s">
        <v>2593</v>
      </c>
      <c r="B2788" t="str">
        <f>"61.1915"</f>
        <v>61.1915</v>
      </c>
      <c r="C2788" t="str">
        <f t="shared" si="67"/>
        <v>61</v>
      </c>
    </row>
    <row r="2789" spans="1:3" x14ac:dyDescent="0.25">
      <c r="A2789" t="s">
        <v>2594</v>
      </c>
      <c r="B2789" t="str">
        <f>"61.1917"</f>
        <v>61.1917</v>
      </c>
      <c r="C2789" t="str">
        <f t="shared" si="67"/>
        <v>61</v>
      </c>
    </row>
    <row r="2790" spans="1:3" x14ac:dyDescent="0.25">
      <c r="A2790" t="s">
        <v>2595</v>
      </c>
      <c r="B2790" t="str">
        <f>"61.1999"</f>
        <v>61.1999</v>
      </c>
      <c r="C2790" t="str">
        <f t="shared" si="67"/>
        <v>61</v>
      </c>
    </row>
    <row r="2791" spans="1:3" x14ac:dyDescent="0.25">
      <c r="A2791" t="s">
        <v>2596</v>
      </c>
      <c r="B2791" t="str">
        <f>"61.20"</f>
        <v>61.20</v>
      </c>
      <c r="C2791" t="str">
        <f t="shared" si="67"/>
        <v>61</v>
      </c>
    </row>
    <row r="2792" spans="1:3" x14ac:dyDescent="0.25">
      <c r="A2792" t="s">
        <v>2241</v>
      </c>
      <c r="B2792" t="str">
        <f>"61.2001"</f>
        <v>61.2001</v>
      </c>
      <c r="C2792" t="str">
        <f t="shared" si="67"/>
        <v>61</v>
      </c>
    </row>
    <row r="2793" spans="1:3" x14ac:dyDescent="0.25">
      <c r="A2793" t="s">
        <v>2597</v>
      </c>
      <c r="B2793" t="str">
        <f>"61.2002"</f>
        <v>61.2002</v>
      </c>
      <c r="C2793" t="str">
        <f t="shared" si="67"/>
        <v>61</v>
      </c>
    </row>
    <row r="2794" spans="1:3" x14ac:dyDescent="0.25">
      <c r="A2794" t="s">
        <v>2598</v>
      </c>
      <c r="B2794" t="str">
        <f>"61.2003"</f>
        <v>61.2003</v>
      </c>
      <c r="C2794" t="str">
        <f t="shared" si="67"/>
        <v>61</v>
      </c>
    </row>
    <row r="2795" spans="1:3" x14ac:dyDescent="0.25">
      <c r="A2795" t="s">
        <v>2599</v>
      </c>
      <c r="B2795" t="str">
        <f>"61.2099"</f>
        <v>61.2099</v>
      </c>
      <c r="C2795" t="str">
        <f t="shared" si="67"/>
        <v>61</v>
      </c>
    </row>
    <row r="2796" spans="1:3" x14ac:dyDescent="0.25">
      <c r="A2796" t="s">
        <v>2600</v>
      </c>
      <c r="B2796" t="str">
        <f>"61.21"</f>
        <v>61.21</v>
      </c>
      <c r="C2796" t="str">
        <f t="shared" si="67"/>
        <v>61</v>
      </c>
    </row>
    <row r="2797" spans="1:3" x14ac:dyDescent="0.25">
      <c r="A2797" t="s">
        <v>2242</v>
      </c>
      <c r="B2797" t="str">
        <f>"61.2101"</f>
        <v>61.2101</v>
      </c>
      <c r="C2797" t="str">
        <f t="shared" si="67"/>
        <v>61</v>
      </c>
    </row>
    <row r="2798" spans="1:3" x14ac:dyDescent="0.25">
      <c r="A2798" t="s">
        <v>2601</v>
      </c>
      <c r="B2798" t="str">
        <f>"61.2102"</f>
        <v>61.2102</v>
      </c>
      <c r="C2798" t="str">
        <f t="shared" si="67"/>
        <v>61</v>
      </c>
    </row>
    <row r="2799" spans="1:3" x14ac:dyDescent="0.25">
      <c r="A2799" t="s">
        <v>2602</v>
      </c>
      <c r="B2799" t="str">
        <f>"61.2103"</f>
        <v>61.2103</v>
      </c>
      <c r="C2799" t="str">
        <f t="shared" si="67"/>
        <v>61</v>
      </c>
    </row>
    <row r="2800" spans="1:3" x14ac:dyDescent="0.25">
      <c r="A2800" t="s">
        <v>2603</v>
      </c>
      <c r="B2800" t="str">
        <f>"61.2199"</f>
        <v>61.2199</v>
      </c>
      <c r="C2800" t="str">
        <f t="shared" si="67"/>
        <v>61</v>
      </c>
    </row>
    <row r="2801" spans="1:3" x14ac:dyDescent="0.25">
      <c r="A2801" t="s">
        <v>2604</v>
      </c>
      <c r="B2801" t="str">
        <f>"61.22"</f>
        <v>61.22</v>
      </c>
      <c r="C2801" t="str">
        <f t="shared" si="67"/>
        <v>61</v>
      </c>
    </row>
    <row r="2802" spans="1:3" x14ac:dyDescent="0.25">
      <c r="A2802" t="s">
        <v>2605</v>
      </c>
      <c r="B2802" t="str">
        <f>"61.2201"</f>
        <v>61.2201</v>
      </c>
      <c r="C2802" t="str">
        <f t="shared" si="67"/>
        <v>61</v>
      </c>
    </row>
    <row r="2803" spans="1:3" x14ac:dyDescent="0.25">
      <c r="A2803" t="s">
        <v>2606</v>
      </c>
      <c r="B2803" t="str">
        <f>"61.2299"</f>
        <v>61.2299</v>
      </c>
      <c r="C2803" t="str">
        <f t="shared" si="67"/>
        <v>61</v>
      </c>
    </row>
    <row r="2804" spans="1:3" x14ac:dyDescent="0.25">
      <c r="A2804" t="s">
        <v>2607</v>
      </c>
      <c r="B2804" t="str">
        <f>"61.23"</f>
        <v>61.23</v>
      </c>
      <c r="C2804" t="str">
        <f t="shared" si="67"/>
        <v>61</v>
      </c>
    </row>
    <row r="2805" spans="1:3" x14ac:dyDescent="0.25">
      <c r="A2805" t="s">
        <v>2244</v>
      </c>
      <c r="B2805" t="str">
        <f>"61.2301"</f>
        <v>61.2301</v>
      </c>
      <c r="C2805" t="str">
        <f t="shared" si="67"/>
        <v>61</v>
      </c>
    </row>
    <row r="2806" spans="1:3" x14ac:dyDescent="0.25">
      <c r="A2806" t="s">
        <v>2216</v>
      </c>
      <c r="B2806" t="str">
        <f>"61.2302"</f>
        <v>61.2302</v>
      </c>
      <c r="C2806" t="str">
        <f t="shared" si="67"/>
        <v>61</v>
      </c>
    </row>
    <row r="2807" spans="1:3" x14ac:dyDescent="0.25">
      <c r="A2807" t="s">
        <v>2235</v>
      </c>
      <c r="B2807" t="str">
        <f>"61.2303"</f>
        <v>61.2303</v>
      </c>
      <c r="C2807" t="str">
        <f t="shared" si="67"/>
        <v>61</v>
      </c>
    </row>
    <row r="2808" spans="1:3" x14ac:dyDescent="0.25">
      <c r="A2808" t="s">
        <v>2608</v>
      </c>
      <c r="B2808" t="str">
        <f>"61.2399"</f>
        <v>61.2399</v>
      </c>
      <c r="C2808" t="str">
        <f t="shared" si="67"/>
        <v>61</v>
      </c>
    </row>
    <row r="2809" spans="1:3" x14ac:dyDescent="0.25">
      <c r="A2809" t="s">
        <v>2609</v>
      </c>
      <c r="B2809" t="str">
        <f>"61.24"</f>
        <v>61.24</v>
      </c>
      <c r="C2809" t="str">
        <f t="shared" si="67"/>
        <v>61</v>
      </c>
    </row>
    <row r="2810" spans="1:3" x14ac:dyDescent="0.25">
      <c r="A2810" t="s">
        <v>2243</v>
      </c>
      <c r="B2810" t="str">
        <f>"61.2401"</f>
        <v>61.2401</v>
      </c>
      <c r="C2810" t="str">
        <f t="shared" si="67"/>
        <v>61</v>
      </c>
    </row>
    <row r="2811" spans="1:3" x14ac:dyDescent="0.25">
      <c r="A2811" t="s">
        <v>2610</v>
      </c>
      <c r="B2811" t="str">
        <f>"61.2402"</f>
        <v>61.2402</v>
      </c>
      <c r="C2811" t="str">
        <f t="shared" si="67"/>
        <v>61</v>
      </c>
    </row>
    <row r="2812" spans="1:3" x14ac:dyDescent="0.25">
      <c r="A2812" t="s">
        <v>2611</v>
      </c>
      <c r="B2812" t="str">
        <f>"61.2403"</f>
        <v>61.2403</v>
      </c>
      <c r="C2812" t="str">
        <f t="shared" si="67"/>
        <v>61</v>
      </c>
    </row>
    <row r="2813" spans="1:3" x14ac:dyDescent="0.25">
      <c r="A2813" t="s">
        <v>2612</v>
      </c>
      <c r="B2813" t="str">
        <f>"61.2404"</f>
        <v>61.2404</v>
      </c>
      <c r="C2813" t="str">
        <f t="shared" si="67"/>
        <v>61</v>
      </c>
    </row>
    <row r="2814" spans="1:3" x14ac:dyDescent="0.25">
      <c r="A2814" t="s">
        <v>2613</v>
      </c>
      <c r="B2814" t="str">
        <f>"61.2405"</f>
        <v>61.2405</v>
      </c>
      <c r="C2814" t="str">
        <f t="shared" si="67"/>
        <v>61</v>
      </c>
    </row>
    <row r="2815" spans="1:3" x14ac:dyDescent="0.25">
      <c r="A2815" t="s">
        <v>2614</v>
      </c>
      <c r="B2815" t="str">
        <f>"61.2406"</f>
        <v>61.2406</v>
      </c>
      <c r="C2815" t="str">
        <f t="shared" si="67"/>
        <v>61</v>
      </c>
    </row>
    <row r="2816" spans="1:3" x14ac:dyDescent="0.25">
      <c r="A2816" t="s">
        <v>2615</v>
      </c>
      <c r="B2816" t="str">
        <f>"61.2499"</f>
        <v>61.2499</v>
      </c>
      <c r="C2816" t="str">
        <f t="shared" si="67"/>
        <v>61</v>
      </c>
    </row>
    <row r="2817" spans="1:3" x14ac:dyDescent="0.25">
      <c r="A2817" t="s">
        <v>2616</v>
      </c>
      <c r="B2817" t="str">
        <f>"61.25"</f>
        <v>61.25</v>
      </c>
      <c r="C2817" t="str">
        <f t="shared" si="67"/>
        <v>61</v>
      </c>
    </row>
    <row r="2818" spans="1:3" x14ac:dyDescent="0.25">
      <c r="A2818" t="s">
        <v>2245</v>
      </c>
      <c r="B2818" t="str">
        <f>"61.2501"</f>
        <v>61.2501</v>
      </c>
      <c r="C2818" t="str">
        <f t="shared" si="67"/>
        <v>61</v>
      </c>
    </row>
    <row r="2819" spans="1:3" x14ac:dyDescent="0.25">
      <c r="A2819" t="s">
        <v>2617</v>
      </c>
      <c r="B2819" t="str">
        <f>"61.2599"</f>
        <v>61.2599</v>
      </c>
      <c r="C2819" t="str">
        <f t="shared" si="67"/>
        <v>61</v>
      </c>
    </row>
    <row r="2820" spans="1:3" x14ac:dyDescent="0.25">
      <c r="A2820" t="s">
        <v>2618</v>
      </c>
      <c r="B2820" t="str">
        <f>"61.26"</f>
        <v>61.26</v>
      </c>
      <c r="C2820" t="str">
        <f t="shared" si="67"/>
        <v>61</v>
      </c>
    </row>
    <row r="2821" spans="1:3" x14ac:dyDescent="0.25">
      <c r="A2821" t="s">
        <v>2226</v>
      </c>
      <c r="B2821" t="str">
        <f>"61.2601"</f>
        <v>61.2601</v>
      </c>
      <c r="C2821" t="str">
        <f t="shared" si="67"/>
        <v>61</v>
      </c>
    </row>
    <row r="2822" spans="1:3" x14ac:dyDescent="0.25">
      <c r="A2822" t="s">
        <v>2619</v>
      </c>
      <c r="B2822" t="str">
        <f>"61.2602"</f>
        <v>61.2602</v>
      </c>
      <c r="C2822" t="str">
        <f t="shared" ref="C2822:C2849" si="68">"61"</f>
        <v>61</v>
      </c>
    </row>
    <row r="2823" spans="1:3" x14ac:dyDescent="0.25">
      <c r="A2823" t="s">
        <v>2620</v>
      </c>
      <c r="B2823" t="str">
        <f>"61.2603"</f>
        <v>61.2603</v>
      </c>
      <c r="C2823" t="str">
        <f t="shared" si="68"/>
        <v>61</v>
      </c>
    </row>
    <row r="2824" spans="1:3" x14ac:dyDescent="0.25">
      <c r="A2824" t="s">
        <v>2266</v>
      </c>
      <c r="B2824" t="str">
        <f>"61.2604"</f>
        <v>61.2604</v>
      </c>
      <c r="C2824" t="str">
        <f t="shared" si="68"/>
        <v>61</v>
      </c>
    </row>
    <row r="2825" spans="1:3" x14ac:dyDescent="0.25">
      <c r="A2825" t="s">
        <v>2284</v>
      </c>
      <c r="B2825" t="str">
        <f>"61.2605"</f>
        <v>61.2605</v>
      </c>
      <c r="C2825" t="str">
        <f t="shared" si="68"/>
        <v>61</v>
      </c>
    </row>
    <row r="2826" spans="1:3" x14ac:dyDescent="0.25">
      <c r="A2826" t="s">
        <v>2621</v>
      </c>
      <c r="B2826" t="str">
        <f>"61.2606"</f>
        <v>61.2606</v>
      </c>
      <c r="C2826" t="str">
        <f t="shared" si="68"/>
        <v>61</v>
      </c>
    </row>
    <row r="2827" spans="1:3" x14ac:dyDescent="0.25">
      <c r="A2827" t="s">
        <v>2622</v>
      </c>
      <c r="B2827" t="str">
        <f>"61.2607"</f>
        <v>61.2607</v>
      </c>
      <c r="C2827" t="str">
        <f t="shared" si="68"/>
        <v>61</v>
      </c>
    </row>
    <row r="2828" spans="1:3" x14ac:dyDescent="0.25">
      <c r="A2828" t="s">
        <v>2623</v>
      </c>
      <c r="B2828" t="str">
        <f>"61.2608"</f>
        <v>61.2608</v>
      </c>
      <c r="C2828" t="str">
        <f t="shared" si="68"/>
        <v>61</v>
      </c>
    </row>
    <row r="2829" spans="1:3" x14ac:dyDescent="0.25">
      <c r="A2829" t="s">
        <v>2624</v>
      </c>
      <c r="B2829" t="str">
        <f>"61.2609"</f>
        <v>61.2609</v>
      </c>
      <c r="C2829" t="str">
        <f t="shared" si="68"/>
        <v>61</v>
      </c>
    </row>
    <row r="2830" spans="1:3" x14ac:dyDescent="0.25">
      <c r="A2830" t="s">
        <v>2246</v>
      </c>
      <c r="B2830" t="str">
        <f>"61.2610"</f>
        <v>61.2610</v>
      </c>
      <c r="C2830" t="str">
        <f t="shared" si="68"/>
        <v>61</v>
      </c>
    </row>
    <row r="2831" spans="1:3" x14ac:dyDescent="0.25">
      <c r="A2831" t="s">
        <v>2331</v>
      </c>
      <c r="B2831" t="str">
        <f>"61.2611"</f>
        <v>61.2611</v>
      </c>
      <c r="C2831" t="str">
        <f t="shared" si="68"/>
        <v>61</v>
      </c>
    </row>
    <row r="2832" spans="1:3" x14ac:dyDescent="0.25">
      <c r="A2832" t="s">
        <v>2625</v>
      </c>
      <c r="B2832" t="str">
        <f>"61.2612"</f>
        <v>61.2612</v>
      </c>
      <c r="C2832" t="str">
        <f t="shared" si="68"/>
        <v>61</v>
      </c>
    </row>
    <row r="2833" spans="1:3" x14ac:dyDescent="0.25">
      <c r="A2833" t="s">
        <v>2626</v>
      </c>
      <c r="B2833" t="str">
        <f>"61.2699"</f>
        <v>61.2699</v>
      </c>
      <c r="C2833" t="str">
        <f t="shared" si="68"/>
        <v>61</v>
      </c>
    </row>
    <row r="2834" spans="1:3" x14ac:dyDescent="0.25">
      <c r="A2834" t="s">
        <v>2627</v>
      </c>
      <c r="B2834" t="str">
        <f>"61.27"</f>
        <v>61.27</v>
      </c>
      <c r="C2834" t="str">
        <f t="shared" si="68"/>
        <v>61</v>
      </c>
    </row>
    <row r="2835" spans="1:3" x14ac:dyDescent="0.25">
      <c r="A2835" t="s">
        <v>2229</v>
      </c>
      <c r="B2835" t="str">
        <f>"61.2701"</f>
        <v>61.2701</v>
      </c>
      <c r="C2835" t="str">
        <f t="shared" si="68"/>
        <v>61</v>
      </c>
    </row>
    <row r="2836" spans="1:3" x14ac:dyDescent="0.25">
      <c r="A2836" t="s">
        <v>2224</v>
      </c>
      <c r="B2836" t="str">
        <f>"61.2702"</f>
        <v>61.2702</v>
      </c>
      <c r="C2836" t="str">
        <f t="shared" si="68"/>
        <v>61</v>
      </c>
    </row>
    <row r="2837" spans="1:3" x14ac:dyDescent="0.25">
      <c r="A2837" t="s">
        <v>2628</v>
      </c>
      <c r="B2837" t="str">
        <f>"61.2703"</f>
        <v>61.2703</v>
      </c>
      <c r="C2837" t="str">
        <f t="shared" si="68"/>
        <v>61</v>
      </c>
    </row>
    <row r="2838" spans="1:3" x14ac:dyDescent="0.25">
      <c r="A2838" t="s">
        <v>2629</v>
      </c>
      <c r="B2838" t="str">
        <f>"61.2704"</f>
        <v>61.2704</v>
      </c>
      <c r="C2838" t="str">
        <f t="shared" si="68"/>
        <v>61</v>
      </c>
    </row>
    <row r="2839" spans="1:3" x14ac:dyDescent="0.25">
      <c r="A2839" t="s">
        <v>2630</v>
      </c>
      <c r="B2839" t="str">
        <f>"61.2705"</f>
        <v>61.2705</v>
      </c>
      <c r="C2839" t="str">
        <f t="shared" si="68"/>
        <v>61</v>
      </c>
    </row>
    <row r="2840" spans="1:3" x14ac:dyDescent="0.25">
      <c r="A2840" t="s">
        <v>2631</v>
      </c>
      <c r="B2840" t="str">
        <f>"61.2706"</f>
        <v>61.2706</v>
      </c>
      <c r="C2840" t="str">
        <f t="shared" si="68"/>
        <v>61</v>
      </c>
    </row>
    <row r="2841" spans="1:3" x14ac:dyDescent="0.25">
      <c r="A2841" t="s">
        <v>2632</v>
      </c>
      <c r="B2841" t="str">
        <f>"61.2707"</f>
        <v>61.2707</v>
      </c>
      <c r="C2841" t="str">
        <f t="shared" si="68"/>
        <v>61</v>
      </c>
    </row>
    <row r="2842" spans="1:3" x14ac:dyDescent="0.25">
      <c r="A2842" t="s">
        <v>2633</v>
      </c>
      <c r="B2842" t="str">
        <f>"61.2708"</f>
        <v>61.2708</v>
      </c>
      <c r="C2842" t="str">
        <f t="shared" si="68"/>
        <v>61</v>
      </c>
    </row>
    <row r="2843" spans="1:3" x14ac:dyDescent="0.25">
      <c r="A2843" t="s">
        <v>2634</v>
      </c>
      <c r="B2843" t="str">
        <f>"61.2799"</f>
        <v>61.2799</v>
      </c>
      <c r="C2843" t="str">
        <f t="shared" si="68"/>
        <v>61</v>
      </c>
    </row>
    <row r="2844" spans="1:3" x14ac:dyDescent="0.25">
      <c r="A2844" t="s">
        <v>2635</v>
      </c>
      <c r="B2844" t="str">
        <f>"61.28"</f>
        <v>61.28</v>
      </c>
      <c r="C2844" t="str">
        <f t="shared" si="68"/>
        <v>61</v>
      </c>
    </row>
    <row r="2845" spans="1:3" x14ac:dyDescent="0.25">
      <c r="A2845" t="s">
        <v>2248</v>
      </c>
      <c r="B2845" t="str">
        <f>"61.2801"</f>
        <v>61.2801</v>
      </c>
      <c r="C2845" t="str">
        <f t="shared" si="68"/>
        <v>61</v>
      </c>
    </row>
    <row r="2846" spans="1:3" x14ac:dyDescent="0.25">
      <c r="A2846" t="s">
        <v>2636</v>
      </c>
      <c r="B2846" t="str">
        <f>"61.2802"</f>
        <v>61.2802</v>
      </c>
      <c r="C2846" t="str">
        <f t="shared" si="68"/>
        <v>61</v>
      </c>
    </row>
    <row r="2847" spans="1:3" x14ac:dyDescent="0.25">
      <c r="A2847" t="s">
        <v>2637</v>
      </c>
      <c r="B2847" t="str">
        <f>"61.2899"</f>
        <v>61.2899</v>
      </c>
      <c r="C2847" t="str">
        <f t="shared" si="68"/>
        <v>61</v>
      </c>
    </row>
    <row r="2848" spans="1:3" x14ac:dyDescent="0.25">
      <c r="A2848" t="s">
        <v>2638</v>
      </c>
      <c r="B2848" t="str">
        <f>"61.99"</f>
        <v>61.99</v>
      </c>
      <c r="C2848" t="str">
        <f t="shared" si="68"/>
        <v>61</v>
      </c>
    </row>
    <row r="2849" spans="1:3" x14ac:dyDescent="0.25">
      <c r="A2849" t="s">
        <v>2638</v>
      </c>
      <c r="B2849" t="str">
        <f>"61.9999"</f>
        <v>61.9999</v>
      </c>
      <c r="C2849" t="str">
        <f t="shared" si="68"/>
        <v>61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4"/>
  <sheetViews>
    <sheetView workbookViewId="0">
      <selection activeCell="A4" sqref="A4"/>
    </sheetView>
  </sheetViews>
  <sheetFormatPr defaultColWidth="11" defaultRowHeight="15.75" x14ac:dyDescent="0.25"/>
  <cols>
    <col min="1" max="1" width="8.75" customWidth="1"/>
    <col min="2" max="2" width="35.75" customWidth="1"/>
    <col min="3" max="3" width="10.5" customWidth="1"/>
    <col min="4" max="5" width="8.625" customWidth="1"/>
    <col min="6" max="7" width="10.125" customWidth="1"/>
    <col min="8" max="8" width="11.375" customWidth="1"/>
    <col min="9" max="9" width="11.875" customWidth="1"/>
    <col min="10" max="16" width="8.625" customWidth="1"/>
    <col min="17" max="17" width="9.375" customWidth="1"/>
    <col min="18" max="26" width="8.625" customWidth="1"/>
  </cols>
  <sheetData>
    <row r="1" spans="1:26" x14ac:dyDescent="0.25">
      <c r="A1" t="s">
        <v>2643</v>
      </c>
    </row>
    <row r="2" spans="1:26" s="8" customFormat="1" ht="51" x14ac:dyDescent="0.2">
      <c r="A2" s="9" t="s">
        <v>8820</v>
      </c>
      <c r="B2" s="9" t="s">
        <v>59</v>
      </c>
      <c r="C2" s="9" t="s">
        <v>29</v>
      </c>
      <c r="D2" s="9" t="s">
        <v>14957</v>
      </c>
      <c r="E2" s="9" t="s">
        <v>14958</v>
      </c>
      <c r="F2" s="9" t="s">
        <v>26</v>
      </c>
      <c r="G2" s="9" t="s">
        <v>27</v>
      </c>
      <c r="H2" s="9" t="s">
        <v>31</v>
      </c>
      <c r="I2" s="9" t="s">
        <v>32</v>
      </c>
      <c r="J2" s="9" t="s">
        <v>33</v>
      </c>
      <c r="K2" s="9" t="s">
        <v>34</v>
      </c>
      <c r="L2" s="9" t="s">
        <v>35</v>
      </c>
      <c r="M2" s="9" t="s">
        <v>36</v>
      </c>
      <c r="N2" s="9" t="s">
        <v>13</v>
      </c>
      <c r="O2" s="9" t="s">
        <v>37</v>
      </c>
      <c r="P2" s="9" t="s">
        <v>38</v>
      </c>
      <c r="Q2" s="9" t="s">
        <v>39</v>
      </c>
      <c r="R2" s="9" t="s">
        <v>40</v>
      </c>
      <c r="S2" s="9" t="s">
        <v>0</v>
      </c>
      <c r="T2" s="9" t="s">
        <v>1</v>
      </c>
      <c r="U2" s="9" t="s">
        <v>41</v>
      </c>
      <c r="V2" s="9" t="s">
        <v>2</v>
      </c>
      <c r="W2" s="9" t="s">
        <v>3</v>
      </c>
      <c r="X2" s="9" t="s">
        <v>42</v>
      </c>
      <c r="Y2" s="9" t="s">
        <v>4</v>
      </c>
      <c r="Z2" s="9" t="s">
        <v>5</v>
      </c>
    </row>
    <row r="3" spans="1:26" ht="26.25" x14ac:dyDescent="0.25">
      <c r="A3" s="30" t="e">
        <f>VLOOKUP(B3,School_List[],2,0)</f>
        <v>#N/A</v>
      </c>
      <c r="B3" s="26" t="s">
        <v>14952</v>
      </c>
      <c r="C3" s="1"/>
      <c r="D3" s="4"/>
      <c r="E3" s="4"/>
      <c r="F3" s="4"/>
      <c r="G3" s="4"/>
      <c r="H3" s="4"/>
      <c r="I3" s="4"/>
      <c r="J3" s="4"/>
      <c r="K3" s="4"/>
      <c r="L3" s="4"/>
      <c r="M3" s="4"/>
      <c r="N3" s="4"/>
      <c r="O3" s="4"/>
    </row>
    <row r="4" spans="1:26" x14ac:dyDescent="0.25">
      <c r="A4" s="17"/>
      <c r="B4" s="17" t="s">
        <v>1776</v>
      </c>
      <c r="C4" s="2"/>
      <c r="D4" s="3"/>
      <c r="E4" s="3"/>
      <c r="F4" s="3"/>
      <c r="G4" s="3"/>
      <c r="H4" s="3"/>
      <c r="I4" s="3"/>
      <c r="J4" s="3"/>
      <c r="K4" s="3"/>
      <c r="L4" s="3"/>
      <c r="M4" s="3"/>
      <c r="N4" s="3"/>
      <c r="O4" s="3"/>
      <c r="P4" s="3"/>
      <c r="Q4" s="3"/>
      <c r="R4" s="3"/>
      <c r="S4" s="3"/>
      <c r="T4" s="3"/>
      <c r="U4" s="3"/>
    </row>
    <row r="5" spans="1:26" x14ac:dyDescent="0.25">
      <c r="A5" s="17"/>
      <c r="B5" s="17" t="s">
        <v>1777</v>
      </c>
      <c r="C5" s="2"/>
      <c r="D5" s="3"/>
      <c r="E5" s="3"/>
      <c r="F5" s="3"/>
      <c r="G5" s="3"/>
      <c r="H5" s="3"/>
      <c r="I5" s="3"/>
      <c r="J5" s="3"/>
      <c r="K5" s="3"/>
      <c r="L5" s="3"/>
      <c r="M5" s="3"/>
      <c r="N5" s="3"/>
      <c r="O5" s="3"/>
      <c r="P5" s="6"/>
      <c r="Q5" s="6"/>
      <c r="R5" s="3"/>
      <c r="S5" s="3"/>
      <c r="T5" s="3"/>
      <c r="U5" s="3"/>
    </row>
    <row r="6" spans="1:26" x14ac:dyDescent="0.25">
      <c r="A6" s="17"/>
      <c r="B6" s="17" t="s">
        <v>1787</v>
      </c>
      <c r="C6" s="2"/>
      <c r="D6" s="3"/>
      <c r="E6" s="3"/>
      <c r="F6" s="3"/>
      <c r="G6" s="3"/>
      <c r="H6" s="3"/>
      <c r="I6" s="3"/>
      <c r="J6" s="3"/>
      <c r="K6" s="3"/>
      <c r="L6" s="3"/>
      <c r="M6" s="3"/>
      <c r="N6" s="3"/>
      <c r="O6" s="3"/>
      <c r="P6" s="6"/>
      <c r="Q6" s="6"/>
      <c r="R6" s="3"/>
      <c r="S6" s="3"/>
      <c r="T6" s="3"/>
      <c r="U6" s="3"/>
    </row>
    <row r="7" spans="1:26" x14ac:dyDescent="0.25">
      <c r="A7" s="17"/>
      <c r="B7" s="17" t="s">
        <v>1778</v>
      </c>
      <c r="C7" s="2"/>
      <c r="D7" s="3"/>
      <c r="E7" s="3"/>
      <c r="F7" s="3"/>
      <c r="G7" s="3"/>
      <c r="H7" s="3"/>
      <c r="I7" s="3"/>
      <c r="J7" s="3"/>
      <c r="K7" s="3"/>
      <c r="L7" s="3"/>
      <c r="M7" s="3"/>
      <c r="N7" s="3"/>
      <c r="O7" s="3"/>
      <c r="P7" s="6"/>
      <c r="Q7" s="6"/>
      <c r="R7" s="3"/>
      <c r="S7" s="3"/>
      <c r="T7" s="3"/>
      <c r="U7" s="3"/>
    </row>
    <row r="8" spans="1:26" x14ac:dyDescent="0.25">
      <c r="A8" s="17"/>
      <c r="B8" s="17" t="s">
        <v>1779</v>
      </c>
      <c r="C8" s="2"/>
      <c r="P8" s="6"/>
      <c r="Q8" s="6"/>
      <c r="R8" s="3"/>
      <c r="S8" s="3"/>
      <c r="T8" s="3"/>
      <c r="U8" s="3"/>
    </row>
    <row r="9" spans="1:26" x14ac:dyDescent="0.25">
      <c r="A9" s="17"/>
      <c r="B9" s="17" t="s">
        <v>1780</v>
      </c>
    </row>
    <row r="10" spans="1:26" x14ac:dyDescent="0.25">
      <c r="A10" s="17"/>
      <c r="B10" s="17" t="s">
        <v>1781</v>
      </c>
    </row>
    <row r="11" spans="1:26" x14ac:dyDescent="0.25">
      <c r="A11" s="17"/>
      <c r="B11" s="17" t="s">
        <v>1782</v>
      </c>
    </row>
    <row r="12" spans="1:26" x14ac:dyDescent="0.25">
      <c r="A12" s="17"/>
      <c r="B12" s="17" t="s">
        <v>1783</v>
      </c>
    </row>
    <row r="13" spans="1:26" x14ac:dyDescent="0.25">
      <c r="A13" s="17"/>
      <c r="B13" s="17" t="s">
        <v>1784</v>
      </c>
    </row>
    <row r="14" spans="1:26" x14ac:dyDescent="0.25">
      <c r="A14" s="17"/>
      <c r="B14" s="17" t="s">
        <v>1785</v>
      </c>
    </row>
  </sheetData>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prompt="If you are unable to find your school, double click on the cell to type it in." xr:uid="{B5D24358-097A-4C0C-BB7D-DD7667798B95}">
          <x14:formula1>
            <xm:f>'Higher Education Institutions'!$A:$A</xm:f>
          </x14:formula1>
          <xm:sqref>B3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4"/>
  <sheetViews>
    <sheetView workbookViewId="0">
      <selection activeCell="A4" sqref="A4"/>
    </sheetView>
  </sheetViews>
  <sheetFormatPr defaultColWidth="11" defaultRowHeight="15.75" x14ac:dyDescent="0.25"/>
  <cols>
    <col min="1" max="1" width="8.75" bestFit="1" customWidth="1"/>
    <col min="2" max="2" width="35.75" customWidth="1"/>
    <col min="3" max="3" width="10.5" customWidth="1"/>
    <col min="4" max="5" width="8.625" customWidth="1"/>
    <col min="6" max="7" width="10.125" customWidth="1"/>
    <col min="8" max="8" width="11.375" customWidth="1"/>
    <col min="9" max="9" width="11.875" customWidth="1"/>
    <col min="10" max="16" width="8.625" customWidth="1"/>
    <col min="17" max="17" width="9.375" customWidth="1"/>
    <col min="18" max="26" width="8.625" customWidth="1"/>
  </cols>
  <sheetData>
    <row r="1" spans="1:26" x14ac:dyDescent="0.25">
      <c r="A1" t="s">
        <v>2644</v>
      </c>
    </row>
    <row r="2" spans="1:26" s="8" customFormat="1" ht="51" x14ac:dyDescent="0.2">
      <c r="A2" s="9" t="s">
        <v>8820</v>
      </c>
      <c r="B2" s="9" t="s">
        <v>59</v>
      </c>
      <c r="C2" s="9" t="s">
        <v>29</v>
      </c>
      <c r="D2" s="9" t="s">
        <v>14957</v>
      </c>
      <c r="E2" s="9" t="s">
        <v>14958</v>
      </c>
      <c r="F2" s="9" t="s">
        <v>26</v>
      </c>
      <c r="G2" s="9" t="s">
        <v>27</v>
      </c>
      <c r="H2" s="9" t="s">
        <v>31</v>
      </c>
      <c r="I2" s="9" t="s">
        <v>32</v>
      </c>
      <c r="J2" s="9" t="s">
        <v>33</v>
      </c>
      <c r="K2" s="9" t="s">
        <v>34</v>
      </c>
      <c r="L2" s="9" t="s">
        <v>35</v>
      </c>
      <c r="M2" s="9" t="s">
        <v>36</v>
      </c>
      <c r="N2" s="9" t="s">
        <v>13</v>
      </c>
      <c r="O2" s="9" t="s">
        <v>37</v>
      </c>
      <c r="P2" s="9" t="s">
        <v>38</v>
      </c>
      <c r="Q2" s="9" t="s">
        <v>39</v>
      </c>
      <c r="R2" s="9" t="s">
        <v>40</v>
      </c>
      <c r="S2" s="9" t="s">
        <v>0</v>
      </c>
      <c r="T2" s="9" t="s">
        <v>1</v>
      </c>
      <c r="U2" s="9" t="s">
        <v>41</v>
      </c>
      <c r="V2" s="9" t="s">
        <v>2</v>
      </c>
      <c r="W2" s="9" t="s">
        <v>3</v>
      </c>
      <c r="X2" s="9" t="s">
        <v>42</v>
      </c>
      <c r="Y2" s="9" t="s">
        <v>4</v>
      </c>
      <c r="Z2" s="9" t="s">
        <v>5</v>
      </c>
    </row>
    <row r="3" spans="1:26" ht="26.25" x14ac:dyDescent="0.25">
      <c r="A3" s="28" t="e">
        <f>VLOOKUP(B3,School_List[],2,0)</f>
        <v>#N/A</v>
      </c>
      <c r="B3" s="26" t="s">
        <v>14952</v>
      </c>
      <c r="C3" s="1"/>
      <c r="D3" s="4"/>
      <c r="E3" s="4"/>
      <c r="F3" s="4"/>
      <c r="G3" s="4"/>
      <c r="H3" s="4"/>
      <c r="I3" s="4"/>
      <c r="J3" s="4"/>
      <c r="K3" s="4"/>
      <c r="L3" s="4"/>
      <c r="M3" s="4"/>
      <c r="N3" s="4"/>
      <c r="O3" s="4"/>
    </row>
    <row r="4" spans="1:26" x14ac:dyDescent="0.25">
      <c r="A4" s="17"/>
      <c r="B4" s="17" t="s">
        <v>1776</v>
      </c>
      <c r="C4" s="2"/>
      <c r="D4" s="3"/>
      <c r="E4" s="3"/>
      <c r="F4" s="3"/>
      <c r="G4" s="3"/>
      <c r="H4" s="3"/>
      <c r="I4" s="3"/>
      <c r="J4" s="3"/>
      <c r="K4" s="3"/>
      <c r="L4" s="3"/>
      <c r="M4" s="3"/>
      <c r="N4" s="3"/>
      <c r="O4" s="3"/>
      <c r="P4" s="3"/>
      <c r="Q4" s="3"/>
      <c r="R4" s="3"/>
      <c r="S4" s="3"/>
      <c r="T4" s="3"/>
      <c r="U4" s="3"/>
    </row>
    <row r="5" spans="1:26" x14ac:dyDescent="0.25">
      <c r="A5" s="17"/>
      <c r="B5" s="17" t="s">
        <v>1777</v>
      </c>
      <c r="C5" s="2"/>
      <c r="D5" s="3"/>
      <c r="E5" s="3"/>
      <c r="F5" s="3"/>
      <c r="G5" s="3"/>
      <c r="H5" s="3"/>
      <c r="I5" s="3"/>
      <c r="J5" s="3"/>
      <c r="K5" s="3"/>
      <c r="L5" s="3"/>
      <c r="M5" s="3"/>
      <c r="N5" s="3"/>
      <c r="O5" s="3"/>
      <c r="P5" s="6"/>
      <c r="Q5" s="6"/>
      <c r="R5" s="3"/>
      <c r="S5" s="3"/>
      <c r="T5" s="3"/>
      <c r="U5" s="3"/>
    </row>
    <row r="6" spans="1:26" x14ac:dyDescent="0.25">
      <c r="A6" s="17"/>
      <c r="B6" s="17" t="s">
        <v>1787</v>
      </c>
      <c r="C6" s="2"/>
      <c r="D6" s="3"/>
      <c r="E6" s="3"/>
      <c r="F6" s="3"/>
      <c r="G6" s="3"/>
      <c r="H6" s="3"/>
      <c r="I6" s="3"/>
      <c r="J6" s="3"/>
      <c r="K6" s="3"/>
      <c r="L6" s="3"/>
      <c r="M6" s="3"/>
      <c r="N6" s="3"/>
      <c r="O6" s="3"/>
      <c r="P6" s="6"/>
      <c r="Q6" s="6"/>
      <c r="R6" s="3"/>
      <c r="S6" s="3"/>
      <c r="T6" s="3"/>
      <c r="U6" s="3"/>
    </row>
    <row r="7" spans="1:26" x14ac:dyDescent="0.25">
      <c r="A7" s="17"/>
      <c r="B7" s="17" t="s">
        <v>1778</v>
      </c>
      <c r="C7" s="2"/>
      <c r="D7" s="3"/>
      <c r="E7" s="3"/>
      <c r="F7" s="3"/>
      <c r="G7" s="3"/>
      <c r="H7" s="3"/>
      <c r="I7" s="3"/>
      <c r="J7" s="3"/>
      <c r="K7" s="3"/>
      <c r="L7" s="3"/>
      <c r="M7" s="3"/>
      <c r="N7" s="3"/>
      <c r="O7" s="3"/>
      <c r="P7" s="6"/>
      <c r="Q7" s="6"/>
      <c r="R7" s="3"/>
      <c r="S7" s="3"/>
      <c r="T7" s="3"/>
      <c r="U7" s="3"/>
    </row>
    <row r="8" spans="1:26" x14ac:dyDescent="0.25">
      <c r="A8" s="17"/>
      <c r="B8" s="17" t="s">
        <v>1779</v>
      </c>
      <c r="C8" s="2"/>
      <c r="P8" s="6"/>
      <c r="Q8" s="6"/>
      <c r="R8" s="3"/>
      <c r="S8" s="3"/>
      <c r="T8" s="3"/>
      <c r="U8" s="3"/>
    </row>
    <row r="9" spans="1:26" x14ac:dyDescent="0.25">
      <c r="A9" s="17"/>
      <c r="B9" s="17" t="s">
        <v>1780</v>
      </c>
    </row>
    <row r="10" spans="1:26" x14ac:dyDescent="0.25">
      <c r="A10" s="17"/>
      <c r="B10" s="17" t="s">
        <v>1781</v>
      </c>
    </row>
    <row r="11" spans="1:26" x14ac:dyDescent="0.25">
      <c r="A11" s="17"/>
      <c r="B11" s="17" t="s">
        <v>1782</v>
      </c>
    </row>
    <row r="12" spans="1:26" x14ac:dyDescent="0.25">
      <c r="A12" s="17"/>
      <c r="B12" s="17" t="s">
        <v>1783</v>
      </c>
    </row>
    <row r="13" spans="1:26" x14ac:dyDescent="0.25">
      <c r="A13" s="17"/>
      <c r="B13" s="17" t="s">
        <v>1784</v>
      </c>
    </row>
    <row r="14" spans="1:26" x14ac:dyDescent="0.25">
      <c r="A14" s="17"/>
      <c r="B14" s="17" t="s">
        <v>1785</v>
      </c>
    </row>
  </sheetData>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prompt="If you are unable to find your school, double click on the cell to type it in." xr:uid="{771E06E7-8D5B-415B-A4ED-B66BF527756F}">
          <x14:formula1>
            <xm:f>'Higher Education Institutions'!$A:$A</xm:f>
          </x14:formula1>
          <xm:sqref>B3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Instructions</vt:lpstr>
      <vt:lpstr>Definitions</vt:lpstr>
      <vt:lpstr> CIP Codes --</vt:lpstr>
      <vt:lpstr>Higher Education Institutions</vt:lpstr>
      <vt:lpstr>CIP Programs</vt:lpstr>
      <vt:lpstr>IPEDS Codes</vt:lpstr>
      <vt:lpstr>CIP Codes</vt:lpstr>
      <vt:lpstr>Associate's Summary</vt:lpstr>
      <vt:lpstr>Bachelor's Summary</vt:lpstr>
      <vt:lpstr>Master's Summary</vt:lpstr>
      <vt:lpstr>Doctoral Summary</vt:lpstr>
      <vt:lpstr>Program Data - Associate's</vt:lpstr>
      <vt:lpstr>Program Data Associate's</vt:lpstr>
      <vt:lpstr>Program Data - Bachelor's</vt:lpstr>
      <vt:lpstr>Program Data - Master's</vt:lpstr>
      <vt:lpstr>Program Data - Doctoral</vt:lpstr>
    </vt:vector>
  </TitlesOfParts>
  <Company>RIT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Emanuel Contomanolis</dc:creator>
  <cp:lastModifiedBy>alongenberger</cp:lastModifiedBy>
  <dcterms:created xsi:type="dcterms:W3CDTF">2013-09-30T16:27:09Z</dcterms:created>
  <dcterms:modified xsi:type="dcterms:W3CDTF">2023-12-06T13:39:29Z</dcterms:modified>
</cp:coreProperties>
</file>